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65401" windowWidth="10140" windowHeight="8085" activeTab="0"/>
  </bookViews>
  <sheets>
    <sheet name="Simulateur TS TNS" sheetId="1" r:id="rId1"/>
    <sheet name="TS" sheetId="2" state="hidden" r:id="rId2"/>
    <sheet name="TNS" sheetId="3" state="hidden" r:id="rId3"/>
  </sheets>
  <definedNames>
    <definedName name="_xlnm.Print_Area" localSheetId="0">'Simulateur TS TNS'!$A$1:$D$68</definedName>
  </definedNames>
  <calcPr fullCalcOnLoad="1"/>
</workbook>
</file>

<file path=xl/sharedStrings.xml><?xml version="1.0" encoding="utf-8"?>
<sst xmlns="http://schemas.openxmlformats.org/spreadsheetml/2006/main" count="176" uniqueCount="127">
  <si>
    <t>Maladie Maternité</t>
  </si>
  <si>
    <t>Allocation familiales</t>
  </si>
  <si>
    <t>Assurance vieillesse complémentaire obligatoire</t>
  </si>
  <si>
    <t>Assurance vieillesse de base</t>
  </si>
  <si>
    <t>Profession architecte</t>
  </si>
  <si>
    <t>Cotisation AGFF TA</t>
  </si>
  <si>
    <t>Cotisation AGFF TB</t>
  </si>
  <si>
    <t>Cotisation APEC</t>
  </si>
  <si>
    <t>Invalidité décès</t>
  </si>
  <si>
    <t>Assurance décès complémentaire</t>
  </si>
  <si>
    <t>CSG</t>
  </si>
  <si>
    <t>CRDS</t>
  </si>
  <si>
    <t>ASSEDIC</t>
  </si>
  <si>
    <t>AGS</t>
  </si>
  <si>
    <t>Participation formation</t>
  </si>
  <si>
    <t>Contribution solidarité autonomie</t>
  </si>
  <si>
    <t>taxe d'apprentissage</t>
  </si>
  <si>
    <t>Assurance volontaire</t>
  </si>
  <si>
    <t>Pas de cotisation obligatoire</t>
  </si>
  <si>
    <t>Total de charge sur salaire</t>
  </si>
  <si>
    <t>CET</t>
  </si>
  <si>
    <t>Ass.vieillesse plafonnée TA</t>
  </si>
  <si>
    <t>Ass.vieillesse plafonnée TB</t>
  </si>
  <si>
    <t>Pris en compte dans cotisation Maladie</t>
  </si>
  <si>
    <t>Assurance accident du tranail architecte</t>
  </si>
  <si>
    <t>Aide au logement FNAL plafonné</t>
  </si>
  <si>
    <t>Forfait APEC</t>
  </si>
  <si>
    <t>GMP</t>
  </si>
  <si>
    <t>Rémunération du gérant ® ou salaire net (S)</t>
  </si>
  <si>
    <t>Gérant majoritaire ®</t>
  </si>
  <si>
    <t>Gérant minoritaire contrat de travail (S)</t>
  </si>
  <si>
    <t>Rémunération Brut</t>
  </si>
  <si>
    <t>Assurance maladie</t>
  </si>
  <si>
    <t>Assurance Viellesse plafonnée</t>
  </si>
  <si>
    <t>Assurance Viellesse déplafonnée</t>
  </si>
  <si>
    <t>Allocation Familiales</t>
  </si>
  <si>
    <t>FNAL Plafonné</t>
  </si>
  <si>
    <t>Contribution Solidarité autonomie</t>
  </si>
  <si>
    <t>CSG déductible</t>
  </si>
  <si>
    <t>CSG-CRDS non déductible</t>
  </si>
  <si>
    <t>URSSAF</t>
  </si>
  <si>
    <t>A.G.S.</t>
  </si>
  <si>
    <t>AGFF TA</t>
  </si>
  <si>
    <t>Retraite Complémentaire TA</t>
  </si>
  <si>
    <t>ARRCO</t>
  </si>
  <si>
    <t>AGFF TB</t>
  </si>
  <si>
    <t>Cotisation CET</t>
  </si>
  <si>
    <t>APEC TB</t>
  </si>
  <si>
    <t>AGIRC</t>
  </si>
  <si>
    <t>Prévoyance TA</t>
  </si>
  <si>
    <t>Prévoyance</t>
  </si>
  <si>
    <t>Taxe d'apprentissage</t>
  </si>
  <si>
    <t>Participation Formation</t>
  </si>
  <si>
    <t>Taxes</t>
  </si>
  <si>
    <t>Net imposable</t>
  </si>
  <si>
    <t>Net à payer</t>
  </si>
  <si>
    <t>Base</t>
  </si>
  <si>
    <t>Salarial</t>
  </si>
  <si>
    <t>Patronal</t>
  </si>
  <si>
    <t>Total</t>
  </si>
  <si>
    <t xml:space="preserve">Taux </t>
  </si>
  <si>
    <t>Montant</t>
  </si>
  <si>
    <t>Taux</t>
  </si>
  <si>
    <t>Accident du Travail</t>
  </si>
  <si>
    <t>Effectif</t>
  </si>
  <si>
    <t>FNAL Déplafonné</t>
  </si>
  <si>
    <t>Assurance chomage AC TA</t>
  </si>
  <si>
    <t>Cadre OUI ou NON</t>
  </si>
  <si>
    <t>OUI</t>
  </si>
  <si>
    <t>Participation Construction</t>
  </si>
  <si>
    <t>limite 4 plafond</t>
  </si>
  <si>
    <t>Comité d'entreprise</t>
  </si>
  <si>
    <t>TOTAL CHARGES</t>
  </si>
  <si>
    <t>Rémunération du gérant ®</t>
  </si>
  <si>
    <t>Maladie Maternité plafonné</t>
  </si>
  <si>
    <t>Maladie Maternité déplafonné</t>
  </si>
  <si>
    <t>Assurance vieillesse complémentaire obligatoire architecte</t>
  </si>
  <si>
    <t>minimum 76,228,380</t>
  </si>
  <si>
    <t>cot securité soc comp</t>
  </si>
  <si>
    <t>si conjoint coll ou ass</t>
  </si>
  <si>
    <t>Taux horaire SMIC</t>
  </si>
  <si>
    <t>Conjoint collaborateur ou associé</t>
  </si>
  <si>
    <t>Total de cotisations sécurité sociales personnelles obligatoires</t>
  </si>
  <si>
    <t>TOTAL</t>
  </si>
  <si>
    <t>NON</t>
  </si>
  <si>
    <t>CLASSES</t>
  </si>
  <si>
    <t>MONTANT DE LA COTISATION</t>
  </si>
  <si>
    <t>POINTS ATTRIBUES</t>
  </si>
  <si>
    <t>inférieurs ou égaux à</t>
  </si>
  <si>
    <t>CSG déductible et non déductible</t>
  </si>
  <si>
    <t>1- Mode d'emploi</t>
  </si>
  <si>
    <t>2- Paramètres</t>
  </si>
  <si>
    <t>3- Résultat</t>
  </si>
  <si>
    <t>plafond SS 2012</t>
  </si>
  <si>
    <t>Salaire Charnière GMP 2011</t>
  </si>
  <si>
    <t>GMP minimum 2012</t>
  </si>
  <si>
    <t>Prévoyance TB</t>
  </si>
  <si>
    <t>APEC TA</t>
  </si>
  <si>
    <t xml:space="preserve">VARIATION ENTRE LES DEUX STATUTS PROPOSES (€)    </t>
  </si>
  <si>
    <t xml:space="preserve">VARIATION (%)    </t>
  </si>
  <si>
    <t xml:space="preserve">Plafond SS </t>
  </si>
  <si>
    <r>
      <t xml:space="preserve">- Renseigner les cellules surlignées en jaune suivant votre situation, il est possible de modifier à votre convenance les cellules </t>
    </r>
    <r>
      <rPr>
        <b/>
        <sz val="10"/>
        <rFont val="Arial"/>
        <family val="2"/>
      </rPr>
      <t>D13</t>
    </r>
    <r>
      <rPr>
        <sz val="10"/>
        <rFont val="Arial"/>
        <family val="2"/>
      </rPr>
      <t xml:space="preserve"> à </t>
    </r>
    <r>
      <rPr>
        <b/>
        <sz val="10"/>
        <rFont val="Arial"/>
        <family val="2"/>
      </rPr>
      <t>D17</t>
    </r>
  </si>
  <si>
    <t>http://revuefiduciaire.grouperf.com/article/3427/hb/rfiduchb3427_3438773.html</t>
  </si>
  <si>
    <t xml:space="preserve">Assurance vieillesse de base </t>
  </si>
  <si>
    <t>REVENUS PROFFESSIONNELS 2009</t>
  </si>
  <si>
    <t>http://service.cipav-retraite.fr/cipav/article-28-principes-de-calcul-des-cotisations-103.htm</t>
  </si>
  <si>
    <t xml:space="preserve">Source : </t>
  </si>
  <si>
    <t>http://www.cipav-berri.org/cipav/cotisations/montants.html</t>
  </si>
  <si>
    <t>6 tranches</t>
  </si>
  <si>
    <t>6 traches à définir</t>
  </si>
  <si>
    <t>de 41 051 € jusqu'à 48 990€</t>
  </si>
  <si>
    <t>de 48990 € jusqu'à 57 500€</t>
  </si>
  <si>
    <t>de 57500 € jusqu'à 66 000€</t>
  </si>
  <si>
    <t>de 66 000 € jusqu'à 82 560€</t>
  </si>
  <si>
    <t>Plus de 82 560€</t>
  </si>
  <si>
    <t>De 0 € à 41 051 €</t>
  </si>
  <si>
    <t>Cette matrice de calcul a été mise en place à partir des données publiées à partir des textes en vigueur au 1er janvier 2012. Il est fortement recommandé de se rapprocher d'un expert comptable membre d'Ordre des Experts comptables afin d'interpréter le résultat de la simulation ci-dessus.</t>
  </si>
  <si>
    <t xml:space="preserve">Vous pouvez également nous contacter </t>
  </si>
  <si>
    <t>(chiffre de 2012)</t>
  </si>
  <si>
    <t>(taux de 2012)</t>
  </si>
  <si>
    <t>Revenu disponible versé (Annuel)</t>
  </si>
  <si>
    <t>Coût global du revenu disponible versé (Annuel)</t>
  </si>
  <si>
    <t>Revenu disponible désiré (Annuel)</t>
  </si>
  <si>
    <t>Rémunération brute (Annuel)</t>
  </si>
  <si>
    <t>Rémunération nette (Annuel)</t>
  </si>
  <si>
    <r>
      <rPr>
        <sz val="14"/>
        <color indexed="9"/>
        <rFont val="Arial"/>
        <family val="2"/>
      </rPr>
      <t xml:space="preserve">Choix entre le statut de : </t>
    </r>
    <r>
      <rPr>
        <b/>
        <sz val="14"/>
        <color indexed="9"/>
        <rFont val="Arial"/>
        <family val="2"/>
      </rPr>
      <t xml:space="preserve"> SALARIÉ OU GÉRANT MAJORITAIRE</t>
    </r>
  </si>
  <si>
    <t>-Cliquez sur le bouton " Indiquer le revenu net désiré !" afin d'écrire le montant que vous souhaitez vous verser et de lancer le calcul.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</si>
</sst>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_-* #,##0\ _€_-;\-* #,##0\ _€_-;_-* &quot;-&quot;??\ _€_-;_-@_-"/>
    <numFmt numFmtId="166" formatCode="#,##0\ &quot;€&quot;"/>
  </numFmts>
  <fonts count="56">
    <font>
      <sz val="10"/>
      <name val="Arial"/>
      <family val="0"/>
    </font>
    <font>
      <sz val="11"/>
      <color indexed="8"/>
      <name val="Calibri"/>
      <family val="2"/>
    </font>
    <font>
      <sz val="8"/>
      <name val="Arial"/>
      <family val="2"/>
    </font>
    <font>
      <b/>
      <sz val="10"/>
      <name val="Arial"/>
      <family val="2"/>
    </font>
    <font>
      <b/>
      <sz val="11"/>
      <name val="Arial"/>
      <family val="2"/>
    </font>
    <font>
      <b/>
      <sz val="10"/>
      <color indexed="10"/>
      <name val="Arial"/>
      <family val="2"/>
    </font>
    <font>
      <sz val="6"/>
      <name val="Arial"/>
      <family val="2"/>
    </font>
    <font>
      <sz val="9"/>
      <color indexed="8"/>
      <name val="Verdana"/>
      <family val="2"/>
    </font>
    <font>
      <sz val="8"/>
      <color indexed="8"/>
      <name val="Verdana"/>
      <family val="2"/>
    </font>
    <font>
      <b/>
      <u val="single"/>
      <sz val="10"/>
      <name val="Arial"/>
      <family val="2"/>
    </font>
    <font>
      <b/>
      <sz val="10"/>
      <name val="Wingdings 2"/>
      <family val="1"/>
    </font>
    <font>
      <b/>
      <sz val="16"/>
      <name val="Wingdings 2"/>
      <family val="1"/>
    </font>
    <font>
      <b/>
      <sz val="12"/>
      <name val="Arial"/>
      <family val="2"/>
    </font>
    <font>
      <sz val="11"/>
      <color indexed="8"/>
      <name val="Arial"/>
      <family val="2"/>
    </font>
    <font>
      <sz val="8"/>
      <color indexed="8"/>
      <name val="Arial"/>
      <family val="2"/>
    </font>
    <font>
      <b/>
      <sz val="14"/>
      <color indexed="9"/>
      <name val="Arial"/>
      <family val="2"/>
    </font>
    <font>
      <sz val="14"/>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0"/>
      <name val="Arial"/>
      <family val="2"/>
    </font>
    <font>
      <b/>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2"/>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9"/>
        <bgColor indexed="64"/>
      </patternFill>
    </fill>
    <fill>
      <patternFill patternType="solid">
        <fgColor rgb="FFC00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bottom/>
    </border>
    <border>
      <left style="medium"/>
      <right style="medium"/>
      <top/>
      <bottom/>
    </border>
    <border>
      <left style="medium"/>
      <right/>
      <top/>
      <bottom style="medium"/>
    </border>
    <border>
      <left style="medium"/>
      <right style="medium"/>
      <top style="medium"/>
      <bottom/>
    </border>
    <border>
      <left style="medium"/>
      <right style="medium"/>
      <top/>
      <bottom style="medium"/>
    </border>
    <border>
      <left/>
      <right style="medium"/>
      <top/>
      <bottom style="medium"/>
    </border>
    <border>
      <left/>
      <right/>
      <top/>
      <bottom style="medium"/>
    </border>
    <border>
      <left/>
      <right style="medium"/>
      <top/>
      <bottom/>
    </border>
    <border>
      <left style="medium"/>
      <right/>
      <top style="thin"/>
      <bottom style="thin"/>
    </border>
    <border>
      <left style="medium"/>
      <right style="medium"/>
      <top style="thin"/>
      <bottom style="thin"/>
    </border>
    <border>
      <left/>
      <right style="medium"/>
      <top style="thin"/>
      <bottom style="thin"/>
    </border>
    <border>
      <left/>
      <right/>
      <top style="thin"/>
      <bottom style="thin"/>
    </border>
    <border>
      <left style="medium"/>
      <right/>
      <top style="thin"/>
      <bottom style="medium"/>
    </border>
    <border>
      <left style="medium"/>
      <right style="medium"/>
      <top style="thin"/>
      <bottom style="medium"/>
    </border>
    <border>
      <left/>
      <right style="medium"/>
      <top style="thin"/>
      <bottom style="medium"/>
    </border>
    <border>
      <left/>
      <right/>
      <top style="thin"/>
      <bottom style="medium"/>
    </border>
    <border>
      <left/>
      <right style="medium"/>
      <top style="medium"/>
      <bottom/>
    </border>
    <border>
      <left/>
      <right/>
      <top style="medium"/>
      <bottom/>
    </border>
    <border>
      <left style="thin"/>
      <right/>
      <top style="thin"/>
      <bottom style="thin"/>
    </border>
    <border>
      <left/>
      <right style="thin"/>
      <top style="thin"/>
      <bottom style="thin"/>
    </border>
    <border>
      <left style="medium"/>
      <right style="thin"/>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style="medium"/>
      <right style="thin"/>
      <top style="medium"/>
      <bottom style="medium"/>
    </border>
    <border>
      <left style="thin">
        <color indexed="8"/>
      </left>
      <right style="thin">
        <color indexed="8"/>
      </right>
      <top style="thin">
        <color indexed="8"/>
      </top>
      <bottom style="thin">
        <color indexed="8"/>
      </bottom>
    </border>
    <border>
      <left style="medium">
        <color indexed="23"/>
      </left>
      <right/>
      <top/>
      <bottom/>
    </border>
    <border>
      <left style="medium">
        <color indexed="23"/>
      </left>
      <right style="medium">
        <color indexed="23"/>
      </right>
      <top/>
      <bottom/>
    </border>
    <border>
      <left/>
      <right style="medium">
        <color indexed="23"/>
      </right>
      <top/>
      <bottom/>
    </border>
    <border>
      <left style="medium">
        <color indexed="23"/>
      </left>
      <right style="medium">
        <color indexed="23"/>
      </right>
      <top/>
      <bottom style="medium">
        <color indexed="23"/>
      </bottom>
    </border>
    <border>
      <left/>
      <right style="medium">
        <color indexed="23"/>
      </right>
      <top/>
      <bottom style="medium">
        <color indexed="23"/>
      </bottom>
    </border>
    <border>
      <left/>
      <right style="medium">
        <color indexed="23"/>
      </right>
      <top style="medium">
        <color indexed="23"/>
      </top>
      <bottom style="medium">
        <color indexed="23"/>
      </bottom>
    </border>
    <border>
      <left style="thin"/>
      <right/>
      <top/>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medium">
        <color indexed="23"/>
      </left>
      <right/>
      <top style="medium">
        <color indexed="23"/>
      </top>
      <bottom/>
    </border>
    <border>
      <left/>
      <right/>
      <top style="medium">
        <color indexed="23"/>
      </top>
      <bottom/>
    </border>
    <border>
      <left/>
      <right style="medium">
        <color indexed="23"/>
      </right>
      <top style="medium">
        <color indexed="23"/>
      </top>
      <bottom/>
    </border>
    <border>
      <left style="medium">
        <color indexed="23"/>
      </left>
      <right/>
      <top style="medium">
        <color indexed="23"/>
      </top>
      <bottom style="medium">
        <color indexed="23"/>
      </bottom>
    </border>
    <border>
      <left/>
      <right/>
      <top style="medium">
        <color indexed="23"/>
      </top>
      <bottom style="medium">
        <color indexed="23"/>
      </bottom>
    </border>
    <border>
      <left style="medium">
        <color indexed="23"/>
      </left>
      <right/>
      <top/>
      <bottom style="medium">
        <color indexed="23"/>
      </bottom>
    </border>
    <border>
      <left/>
      <right/>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
      <left/>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201">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33" borderId="0" xfId="0" applyFill="1" applyAlignment="1" applyProtection="1">
      <alignment/>
      <protection hidden="1"/>
    </xf>
    <xf numFmtId="0" fontId="0" fillId="0" borderId="13" xfId="0" applyBorder="1" applyAlignment="1" applyProtection="1">
      <alignment/>
      <protection hidden="1"/>
    </xf>
    <xf numFmtId="0" fontId="0" fillId="0" borderId="0" xfId="0" applyBorder="1" applyAlignment="1" applyProtection="1">
      <alignment/>
      <protection hidden="1"/>
    </xf>
    <xf numFmtId="4" fontId="0" fillId="0" borderId="0" xfId="0" applyNumberFormat="1" applyBorder="1" applyAlignment="1" applyProtection="1">
      <alignment/>
      <protection hidden="1"/>
    </xf>
    <xf numFmtId="0" fontId="0" fillId="0" borderId="14" xfId="0" applyBorder="1" applyAlignment="1" applyProtection="1">
      <alignment/>
      <protection hidden="1"/>
    </xf>
    <xf numFmtId="0" fontId="3" fillId="0" borderId="14" xfId="0" applyFont="1" applyBorder="1" applyAlignment="1" applyProtection="1">
      <alignment horizontal="center"/>
      <protection hidden="1"/>
    </xf>
    <xf numFmtId="0" fontId="0" fillId="0" borderId="15" xfId="0" applyBorder="1" applyAlignment="1" applyProtection="1">
      <alignment/>
      <protection hidden="1"/>
    </xf>
    <xf numFmtId="0" fontId="3" fillId="0" borderId="15"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16" xfId="0" applyFont="1" applyBorder="1" applyAlignment="1" applyProtection="1">
      <alignment horizontal="center"/>
      <protection hidden="1"/>
    </xf>
    <xf numFmtId="0" fontId="3" fillId="0" borderId="17" xfId="0" applyFont="1" applyBorder="1" applyAlignment="1" applyProtection="1">
      <alignment horizontal="center"/>
      <protection hidden="1"/>
    </xf>
    <xf numFmtId="4" fontId="0" fillId="0" borderId="12" xfId="0" applyNumberFormat="1" applyBorder="1" applyAlignment="1" applyProtection="1">
      <alignment/>
      <protection hidden="1"/>
    </xf>
    <xf numFmtId="164" fontId="0" fillId="0" borderId="11" xfId="0" applyNumberFormat="1" applyBorder="1" applyAlignment="1" applyProtection="1">
      <alignment/>
      <protection hidden="1"/>
    </xf>
    <xf numFmtId="4" fontId="0" fillId="0" borderId="18" xfId="0" applyNumberFormat="1" applyBorder="1" applyAlignment="1" applyProtection="1">
      <alignment/>
      <protection hidden="1"/>
    </xf>
    <xf numFmtId="164" fontId="0" fillId="0" borderId="0" xfId="0" applyNumberFormat="1" applyBorder="1" applyAlignment="1" applyProtection="1">
      <alignment/>
      <protection hidden="1"/>
    </xf>
    <xf numFmtId="164" fontId="0" fillId="33" borderId="11" xfId="0" applyNumberFormat="1" applyFill="1" applyBorder="1" applyAlignment="1" applyProtection="1">
      <alignment/>
      <protection hidden="1"/>
    </xf>
    <xf numFmtId="164" fontId="0" fillId="34" borderId="0" xfId="0" applyNumberFormat="1" applyFill="1" applyBorder="1" applyAlignment="1" applyProtection="1">
      <alignment/>
      <protection hidden="1"/>
    </xf>
    <xf numFmtId="164" fontId="0" fillId="0" borderId="0" xfId="0" applyNumberFormat="1" applyFill="1" applyBorder="1" applyAlignment="1" applyProtection="1">
      <alignment/>
      <protection hidden="1"/>
    </xf>
    <xf numFmtId="0" fontId="3" fillId="0" borderId="19" xfId="0" applyFont="1" applyBorder="1" applyAlignment="1" applyProtection="1">
      <alignment/>
      <protection hidden="1"/>
    </xf>
    <xf numFmtId="4" fontId="3" fillId="0" borderId="20" xfId="0" applyNumberFormat="1" applyFont="1" applyBorder="1" applyAlignment="1" applyProtection="1">
      <alignment/>
      <protection hidden="1"/>
    </xf>
    <xf numFmtId="164" fontId="3" fillId="0" borderId="19" xfId="0" applyNumberFormat="1" applyFont="1" applyBorder="1" applyAlignment="1" applyProtection="1">
      <alignment/>
      <protection hidden="1"/>
    </xf>
    <xf numFmtId="4" fontId="3" fillId="0" borderId="21" xfId="0" applyNumberFormat="1" applyFont="1" applyBorder="1" applyAlignment="1" applyProtection="1">
      <alignment/>
      <protection hidden="1"/>
    </xf>
    <xf numFmtId="4" fontId="3" fillId="0" borderId="22" xfId="0" applyNumberFormat="1" applyFont="1" applyBorder="1" applyAlignment="1" applyProtection="1">
      <alignment/>
      <protection hidden="1"/>
    </xf>
    <xf numFmtId="4" fontId="3" fillId="0" borderId="19" xfId="0" applyNumberFormat="1" applyFont="1" applyBorder="1" applyAlignment="1" applyProtection="1">
      <alignment/>
      <protection hidden="1"/>
    </xf>
    <xf numFmtId="164" fontId="0" fillId="0" borderId="11" xfId="0" applyNumberFormat="1" applyFill="1" applyBorder="1" applyAlignment="1" applyProtection="1">
      <alignment/>
      <protection hidden="1"/>
    </xf>
    <xf numFmtId="164" fontId="0" fillId="33" borderId="0" xfId="0" applyNumberFormat="1" applyFill="1" applyBorder="1" applyAlignment="1" applyProtection="1">
      <alignment/>
      <protection hidden="1"/>
    </xf>
    <xf numFmtId="10" fontId="0" fillId="0" borderId="11" xfId="0" applyNumberFormat="1" applyBorder="1" applyAlignment="1" applyProtection="1">
      <alignment/>
      <protection hidden="1"/>
    </xf>
    <xf numFmtId="0" fontId="0" fillId="0" borderId="18" xfId="0" applyBorder="1" applyAlignment="1" applyProtection="1">
      <alignment/>
      <protection hidden="1"/>
    </xf>
    <xf numFmtId="10" fontId="0" fillId="0" borderId="0" xfId="0" applyNumberFormat="1" applyBorder="1" applyAlignment="1" applyProtection="1">
      <alignment/>
      <protection hidden="1"/>
    </xf>
    <xf numFmtId="0" fontId="3" fillId="0" borderId="20" xfId="0" applyFont="1" applyBorder="1" applyAlignment="1" applyProtection="1">
      <alignment/>
      <protection hidden="1"/>
    </xf>
    <xf numFmtId="0" fontId="3" fillId="0" borderId="23" xfId="0" applyFont="1" applyBorder="1" applyAlignment="1" applyProtection="1">
      <alignment/>
      <protection hidden="1"/>
    </xf>
    <xf numFmtId="0" fontId="3" fillId="0" borderId="24" xfId="0" applyFont="1" applyBorder="1" applyAlignment="1" applyProtection="1">
      <alignment/>
      <protection hidden="1"/>
    </xf>
    <xf numFmtId="4" fontId="3" fillId="0" borderId="25" xfId="0" applyNumberFormat="1" applyFont="1" applyBorder="1" applyAlignment="1" applyProtection="1">
      <alignment/>
      <protection hidden="1"/>
    </xf>
    <xf numFmtId="4" fontId="3" fillId="0" borderId="26" xfId="0" applyNumberFormat="1" applyFont="1" applyBorder="1" applyAlignment="1" applyProtection="1">
      <alignment/>
      <protection hidden="1"/>
    </xf>
    <xf numFmtId="4" fontId="3" fillId="0" borderId="23" xfId="0" applyNumberFormat="1" applyFont="1" applyBorder="1" applyAlignment="1" applyProtection="1">
      <alignment/>
      <protection hidden="1"/>
    </xf>
    <xf numFmtId="0" fontId="3" fillId="0" borderId="10" xfId="0" applyFont="1" applyBorder="1" applyAlignment="1" applyProtection="1">
      <alignment/>
      <protection hidden="1"/>
    </xf>
    <xf numFmtId="4" fontId="3" fillId="0" borderId="27" xfId="0" applyNumberFormat="1" applyFont="1" applyBorder="1" applyAlignment="1" applyProtection="1">
      <alignment/>
      <protection hidden="1"/>
    </xf>
    <xf numFmtId="0" fontId="3" fillId="0" borderId="11" xfId="0" applyFont="1" applyBorder="1" applyAlignment="1" applyProtection="1">
      <alignment/>
      <protection hidden="1"/>
    </xf>
    <xf numFmtId="4" fontId="3" fillId="0" borderId="18" xfId="0" applyNumberFormat="1" applyFont="1" applyBorder="1" applyAlignment="1" applyProtection="1">
      <alignment/>
      <protection hidden="1"/>
    </xf>
    <xf numFmtId="0" fontId="3" fillId="0" borderId="13" xfId="0" applyFont="1" applyBorder="1" applyAlignment="1" applyProtection="1">
      <alignment/>
      <protection hidden="1"/>
    </xf>
    <xf numFmtId="4" fontId="3" fillId="0" borderId="16" xfId="0" applyNumberFormat="1" applyFont="1" applyBorder="1" applyAlignment="1" applyProtection="1">
      <alignment/>
      <protection hidden="1" locked="0"/>
    </xf>
    <xf numFmtId="4" fontId="0" fillId="0" borderId="15" xfId="0" applyNumberFormat="1" applyBorder="1" applyAlignment="1" applyProtection="1">
      <alignment/>
      <protection hidden="1" locked="0"/>
    </xf>
    <xf numFmtId="0" fontId="5" fillId="0" borderId="0" xfId="0" applyFont="1" applyAlignment="1" applyProtection="1">
      <alignment/>
      <protection hidden="1"/>
    </xf>
    <xf numFmtId="0" fontId="3" fillId="0" borderId="27" xfId="0" applyFont="1" applyBorder="1" applyAlignment="1" applyProtection="1">
      <alignment horizontal="center"/>
      <protection hidden="1"/>
    </xf>
    <xf numFmtId="0" fontId="0" fillId="0" borderId="0" xfId="0" applyFill="1" applyAlignment="1" applyProtection="1">
      <alignment/>
      <protection hidden="1"/>
    </xf>
    <xf numFmtId="0" fontId="0" fillId="0" borderId="28" xfId="0" applyBorder="1" applyAlignment="1" applyProtection="1">
      <alignment/>
      <protection hidden="1"/>
    </xf>
    <xf numFmtId="0" fontId="3" fillId="0" borderId="13" xfId="0" applyFont="1" applyFill="1" applyBorder="1" applyAlignment="1" applyProtection="1">
      <alignment/>
      <protection hidden="1"/>
    </xf>
    <xf numFmtId="0" fontId="0" fillId="0" borderId="17" xfId="0" applyFill="1" applyBorder="1" applyAlignment="1" applyProtection="1">
      <alignment/>
      <protection hidden="1"/>
    </xf>
    <xf numFmtId="3" fontId="4" fillId="0" borderId="16" xfId="0" applyNumberFormat="1" applyFont="1" applyFill="1" applyBorder="1" applyAlignment="1" applyProtection="1">
      <alignment horizontal="center"/>
      <protection hidden="1"/>
    </xf>
    <xf numFmtId="0" fontId="0" fillId="0" borderId="29" xfId="0" applyBorder="1" applyAlignment="1" applyProtection="1">
      <alignment/>
      <protection hidden="1"/>
    </xf>
    <xf numFmtId="0" fontId="0" fillId="0" borderId="22" xfId="0" applyBorder="1" applyAlignment="1" applyProtection="1">
      <alignment/>
      <protection hidden="1"/>
    </xf>
    <xf numFmtId="0" fontId="0" fillId="0" borderId="30" xfId="0" applyBorder="1" applyAlignment="1" applyProtection="1">
      <alignment/>
      <protection hidden="1"/>
    </xf>
    <xf numFmtId="0" fontId="0" fillId="0" borderId="11" xfId="0" applyFill="1" applyBorder="1" applyAlignment="1" applyProtection="1">
      <alignment/>
      <protection hidden="1"/>
    </xf>
    <xf numFmtId="0" fontId="0" fillId="0" borderId="0" xfId="0" applyFill="1" applyBorder="1" applyAlignment="1" applyProtection="1">
      <alignment/>
      <protection hidden="1"/>
    </xf>
    <xf numFmtId="0" fontId="0" fillId="0" borderId="31" xfId="0" applyFill="1" applyBorder="1" applyAlignment="1" applyProtection="1">
      <alignment/>
      <protection hidden="1"/>
    </xf>
    <xf numFmtId="0" fontId="0" fillId="0" borderId="32" xfId="0" applyFill="1" applyBorder="1" applyAlignment="1" applyProtection="1">
      <alignment/>
      <protection hidden="1"/>
    </xf>
    <xf numFmtId="0" fontId="0" fillId="0" borderId="33" xfId="0" applyBorder="1" applyAlignment="1" applyProtection="1">
      <alignment/>
      <protection hidden="1"/>
    </xf>
    <xf numFmtId="4" fontId="0" fillId="0" borderId="33" xfId="0" applyNumberFormat="1" applyBorder="1" applyAlignment="1" applyProtection="1">
      <alignment/>
      <protection hidden="1"/>
    </xf>
    <xf numFmtId="164" fontId="0" fillId="34" borderId="33" xfId="0" applyNumberFormat="1" applyFill="1" applyBorder="1" applyAlignment="1" applyProtection="1">
      <alignment/>
      <protection hidden="1"/>
    </xf>
    <xf numFmtId="4" fontId="0" fillId="0" borderId="34" xfId="0" applyNumberFormat="1" applyBorder="1" applyAlignment="1" applyProtection="1">
      <alignment/>
      <protection hidden="1"/>
    </xf>
    <xf numFmtId="3" fontId="0" fillId="0" borderId="31" xfId="0" applyNumberFormat="1" applyFill="1" applyBorder="1" applyAlignment="1" applyProtection="1">
      <alignment/>
      <protection hidden="1"/>
    </xf>
    <xf numFmtId="4" fontId="0" fillId="0" borderId="35" xfId="0" applyNumberForma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4" fontId="0" fillId="0" borderId="37" xfId="0" applyNumberFormat="1" applyBorder="1" applyAlignment="1" applyProtection="1">
      <alignment/>
      <protection hidden="1"/>
    </xf>
    <xf numFmtId="164" fontId="0" fillId="0" borderId="37" xfId="0" applyNumberFormat="1" applyBorder="1" applyAlignment="1" applyProtection="1">
      <alignment/>
      <protection hidden="1"/>
    </xf>
    <xf numFmtId="4" fontId="0" fillId="0" borderId="38" xfId="0" applyNumberFormat="1" applyBorder="1" applyAlignment="1" applyProtection="1">
      <alignment/>
      <protection hidden="1"/>
    </xf>
    <xf numFmtId="4" fontId="0" fillId="0" borderId="0" xfId="0" applyNumberFormat="1" applyAlignment="1" applyProtection="1">
      <alignment/>
      <protection hidden="1"/>
    </xf>
    <xf numFmtId="164" fontId="0" fillId="0" borderId="0" xfId="0" applyNumberFormat="1" applyAlignment="1" applyProtection="1">
      <alignment/>
      <protection hidden="1"/>
    </xf>
    <xf numFmtId="0" fontId="0" fillId="0" borderId="29" xfId="0" applyFill="1" applyBorder="1" applyAlignment="1" applyProtection="1">
      <alignment/>
      <protection hidden="1"/>
    </xf>
    <xf numFmtId="4" fontId="0" fillId="0" borderId="22" xfId="0" applyNumberFormat="1" applyBorder="1" applyAlignment="1" applyProtection="1">
      <alignment/>
      <protection hidden="1"/>
    </xf>
    <xf numFmtId="164" fontId="0" fillId="0" borderId="22" xfId="0" applyNumberFormat="1" applyBorder="1" applyAlignment="1" applyProtection="1">
      <alignment/>
      <protection hidden="1"/>
    </xf>
    <xf numFmtId="4" fontId="0" fillId="0" borderId="30" xfId="0" applyNumberFormat="1" applyBorder="1" applyAlignment="1" applyProtection="1">
      <alignment/>
      <protection hidden="1"/>
    </xf>
    <xf numFmtId="4" fontId="0" fillId="0" borderId="33" xfId="0" applyNumberFormat="1" applyFill="1" applyBorder="1" applyAlignment="1" applyProtection="1">
      <alignment/>
      <protection hidden="1"/>
    </xf>
    <xf numFmtId="164" fontId="0" fillId="0" borderId="33" xfId="0" applyNumberFormat="1" applyBorder="1" applyAlignment="1" applyProtection="1">
      <alignment/>
      <protection hidden="1"/>
    </xf>
    <xf numFmtId="0" fontId="6" fillId="0" borderId="31" xfId="0" applyFont="1" applyFill="1" applyBorder="1" applyAlignment="1" applyProtection="1">
      <alignment/>
      <protection hidden="1"/>
    </xf>
    <xf numFmtId="4" fontId="0" fillId="0" borderId="0" xfId="0" applyNumberFormat="1" applyFill="1" applyBorder="1" applyAlignment="1" applyProtection="1">
      <alignment/>
      <protection hidden="1"/>
    </xf>
    <xf numFmtId="0" fontId="0" fillId="0" borderId="36" xfId="0" applyFill="1" applyBorder="1" applyAlignment="1" applyProtection="1">
      <alignment/>
      <protection hidden="1"/>
    </xf>
    <xf numFmtId="0" fontId="0" fillId="0" borderId="37" xfId="0" applyFill="1" applyBorder="1" applyAlignment="1" applyProtection="1">
      <alignment/>
      <protection hidden="1"/>
    </xf>
    <xf numFmtId="0" fontId="3" fillId="0" borderId="39" xfId="0" applyFont="1" applyFill="1" applyBorder="1" applyAlignment="1" applyProtection="1">
      <alignment/>
      <protection hidden="1"/>
    </xf>
    <xf numFmtId="0" fontId="0" fillId="0" borderId="40" xfId="0" applyFill="1" applyBorder="1" applyAlignment="1" applyProtection="1">
      <alignment/>
      <protection hidden="1"/>
    </xf>
    <xf numFmtId="3" fontId="4" fillId="0" borderId="41" xfId="0" applyNumberFormat="1" applyFont="1" applyFill="1" applyBorder="1" applyAlignment="1" applyProtection="1">
      <alignment horizontal="center"/>
      <protection hidden="1"/>
    </xf>
    <xf numFmtId="0" fontId="0" fillId="0" borderId="22" xfId="0" applyFill="1" applyBorder="1" applyAlignment="1" applyProtection="1">
      <alignment/>
      <protection hidden="1"/>
    </xf>
    <xf numFmtId="0" fontId="7" fillId="35" borderId="42" xfId="0" applyFont="1" applyFill="1" applyBorder="1" applyAlignment="1" applyProtection="1">
      <alignment horizontal="center" wrapText="1"/>
      <protection hidden="1"/>
    </xf>
    <xf numFmtId="0" fontId="8" fillId="36" borderId="42" xfId="0" applyFont="1" applyFill="1" applyBorder="1" applyAlignment="1" applyProtection="1">
      <alignment horizontal="center" wrapText="1"/>
      <protection hidden="1"/>
    </xf>
    <xf numFmtId="0" fontId="3" fillId="0" borderId="18" xfId="0" applyFont="1" applyBorder="1" applyAlignment="1" applyProtection="1">
      <alignment horizontal="center"/>
      <protection hidden="1"/>
    </xf>
    <xf numFmtId="4" fontId="0" fillId="37" borderId="18" xfId="0" applyNumberFormat="1" applyFill="1" applyBorder="1" applyAlignment="1" applyProtection="1">
      <alignment/>
      <protection hidden="1"/>
    </xf>
    <xf numFmtId="4" fontId="0" fillId="0" borderId="18" xfId="0" applyNumberFormat="1" applyFill="1" applyBorder="1" applyAlignment="1" applyProtection="1">
      <alignment/>
      <protection hidden="1"/>
    </xf>
    <xf numFmtId="4" fontId="3" fillId="0" borderId="21" xfId="0" applyNumberFormat="1" applyFont="1" applyFill="1" applyBorder="1" applyAlignment="1" applyProtection="1">
      <alignment/>
      <protection hidden="1"/>
    </xf>
    <xf numFmtId="0" fontId="0" fillId="0" borderId="14" xfId="0" applyBorder="1" applyAlignment="1" applyProtection="1">
      <alignment horizontal="right"/>
      <protection hidden="1"/>
    </xf>
    <xf numFmtId="4" fontId="0" fillId="33" borderId="0" xfId="0" applyNumberFormat="1" applyFill="1" applyAlignment="1" applyProtection="1">
      <alignment/>
      <protection hidden="1"/>
    </xf>
    <xf numFmtId="3" fontId="0" fillId="0" borderId="0" xfId="0" applyNumberFormat="1" applyAlignment="1" applyProtection="1">
      <alignment/>
      <protection hidden="1"/>
    </xf>
    <xf numFmtId="0" fontId="0" fillId="0" borderId="43" xfId="0" applyBorder="1" applyAlignment="1" applyProtection="1">
      <alignment/>
      <protection hidden="1"/>
    </xf>
    <xf numFmtId="0" fontId="0" fillId="0" borderId="44" xfId="0" applyBorder="1" applyAlignment="1" applyProtection="1">
      <alignment/>
      <protection hidden="1"/>
    </xf>
    <xf numFmtId="0" fontId="0" fillId="0" borderId="45" xfId="0" applyBorder="1" applyAlignment="1" applyProtection="1">
      <alignment/>
      <protection hidden="1"/>
    </xf>
    <xf numFmtId="0" fontId="9" fillId="0" borderId="0" xfId="0" applyFont="1" applyBorder="1" applyAlignment="1" applyProtection="1">
      <alignment/>
      <protection hidden="1"/>
    </xf>
    <xf numFmtId="0" fontId="3" fillId="0" borderId="0" xfId="0" applyFont="1" applyAlignment="1" applyProtection="1">
      <alignment/>
      <protection hidden="1"/>
    </xf>
    <xf numFmtId="4" fontId="0" fillId="38" borderId="12" xfId="0" applyNumberFormat="1" applyFill="1" applyBorder="1" applyAlignment="1" applyProtection="1">
      <alignment/>
      <protection hidden="1"/>
    </xf>
    <xf numFmtId="0" fontId="0" fillId="36" borderId="43" xfId="0" applyFill="1" applyBorder="1" applyAlignment="1" applyProtection="1">
      <alignment/>
      <protection hidden="1"/>
    </xf>
    <xf numFmtId="0" fontId="0" fillId="36" borderId="0" xfId="0" applyFill="1" applyBorder="1" applyAlignment="1" applyProtection="1">
      <alignment/>
      <protection hidden="1"/>
    </xf>
    <xf numFmtId="3" fontId="0" fillId="36" borderId="44" xfId="0" applyNumberFormat="1" applyFill="1" applyBorder="1" applyAlignment="1" applyProtection="1">
      <alignment/>
      <protection hidden="1"/>
    </xf>
    <xf numFmtId="3" fontId="0" fillId="36" borderId="45" xfId="0" applyNumberFormat="1" applyFill="1" applyBorder="1" applyAlignment="1" applyProtection="1">
      <alignment/>
      <protection hidden="1"/>
    </xf>
    <xf numFmtId="0" fontId="0" fillId="36" borderId="46" xfId="0" applyFill="1" applyBorder="1" applyAlignment="1" applyProtection="1">
      <alignment/>
      <protection hidden="1"/>
    </xf>
    <xf numFmtId="0" fontId="0" fillId="36" borderId="47" xfId="0" applyFill="1" applyBorder="1" applyAlignment="1" applyProtection="1">
      <alignment/>
      <protection hidden="1"/>
    </xf>
    <xf numFmtId="0" fontId="0" fillId="33" borderId="0" xfId="0" applyFont="1" applyFill="1" applyAlignment="1" applyProtection="1">
      <alignment/>
      <protection hidden="1"/>
    </xf>
    <xf numFmtId="4" fontId="0" fillId="33" borderId="0" xfId="0" applyNumberFormat="1" applyFill="1" applyAlignment="1" applyProtection="1">
      <alignment horizontal="right"/>
      <protection hidden="1"/>
    </xf>
    <xf numFmtId="0" fontId="0" fillId="33" borderId="0" xfId="0" applyFont="1" applyFill="1" applyAlignment="1" applyProtection="1">
      <alignment horizontal="left"/>
      <protection hidden="1"/>
    </xf>
    <xf numFmtId="0" fontId="0" fillId="33" borderId="0" xfId="0" applyFill="1" applyAlignment="1" applyProtection="1">
      <alignment horizontal="left"/>
      <protection hidden="1"/>
    </xf>
    <xf numFmtId="0" fontId="0" fillId="39" borderId="11" xfId="0" applyFill="1" applyBorder="1" applyAlignment="1" applyProtection="1">
      <alignment/>
      <protection hidden="1"/>
    </xf>
    <xf numFmtId="4" fontId="13" fillId="0" borderId="0" xfId="0" applyNumberFormat="1" applyFont="1" applyAlignment="1">
      <alignment/>
    </xf>
    <xf numFmtId="0" fontId="0" fillId="36" borderId="11" xfId="0" applyFill="1" applyBorder="1" applyAlignment="1" applyProtection="1">
      <alignment/>
      <protection hidden="1"/>
    </xf>
    <xf numFmtId="0" fontId="3" fillId="36" borderId="19" xfId="0" applyFont="1" applyFill="1" applyBorder="1" applyAlignment="1" applyProtection="1">
      <alignment/>
      <protection hidden="1"/>
    </xf>
    <xf numFmtId="0" fontId="0" fillId="38" borderId="11" xfId="0" applyFill="1" applyBorder="1" applyAlignment="1" applyProtection="1">
      <alignment/>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0" fillId="39" borderId="11" xfId="0" applyFont="1" applyFill="1" applyBorder="1" applyAlignment="1" applyProtection="1">
      <alignment/>
      <protection hidden="1"/>
    </xf>
    <xf numFmtId="4" fontId="0" fillId="0" borderId="12" xfId="0" applyNumberFormat="1" applyFont="1" applyBorder="1" applyAlignment="1" applyProtection="1">
      <alignment/>
      <protection hidden="1"/>
    </xf>
    <xf numFmtId="3" fontId="12" fillId="36" borderId="48" xfId="0" applyNumberFormat="1" applyFont="1" applyFill="1" applyBorder="1" applyAlignment="1" applyProtection="1">
      <alignment horizontal="center"/>
      <protection hidden="1" locked="0"/>
    </xf>
    <xf numFmtId="0" fontId="0" fillId="0" borderId="0" xfId="0" applyFont="1" applyBorder="1" applyAlignment="1" applyProtection="1" quotePrefix="1">
      <alignment/>
      <protection hidden="1"/>
    </xf>
    <xf numFmtId="4" fontId="0" fillId="0" borderId="12" xfId="0" applyNumberFormat="1" applyFont="1" applyFill="1" applyBorder="1" applyAlignment="1" applyProtection="1">
      <alignment/>
      <protection hidden="1"/>
    </xf>
    <xf numFmtId="4" fontId="0" fillId="39" borderId="12" xfId="0" applyNumberFormat="1" applyFill="1" applyBorder="1" applyAlignment="1" applyProtection="1">
      <alignment/>
      <protection hidden="1"/>
    </xf>
    <xf numFmtId="0" fontId="43" fillId="0" borderId="0" xfId="45" applyAlignment="1" applyProtection="1">
      <alignment/>
      <protection hidden="1"/>
    </xf>
    <xf numFmtId="0" fontId="0" fillId="0" borderId="49" xfId="0" applyFill="1" applyBorder="1" applyAlignment="1" applyProtection="1">
      <alignment/>
      <protection hidden="1"/>
    </xf>
    <xf numFmtId="4" fontId="0" fillId="0" borderId="12" xfId="0" applyNumberFormat="1" applyFill="1" applyBorder="1" applyAlignment="1" applyProtection="1">
      <alignment/>
      <protection hidden="1"/>
    </xf>
    <xf numFmtId="3" fontId="0" fillId="0" borderId="50" xfId="0" applyNumberFormat="1" applyFont="1" applyBorder="1" applyAlignment="1" applyProtection="1">
      <alignment horizontal="center"/>
      <protection hidden="1"/>
    </xf>
    <xf numFmtId="3" fontId="0" fillId="0" borderId="0" xfId="0" applyNumberFormat="1" applyFont="1" applyAlignment="1" applyProtection="1">
      <alignment horizontal="center"/>
      <protection hidden="1"/>
    </xf>
    <xf numFmtId="0" fontId="14" fillId="36" borderId="51" xfId="0" applyFont="1" applyFill="1" applyBorder="1" applyAlignment="1" applyProtection="1">
      <alignment horizontal="center" wrapText="1"/>
      <protection hidden="1"/>
    </xf>
    <xf numFmtId="3" fontId="0" fillId="36" borderId="52" xfId="0" applyNumberFormat="1" applyFont="1" applyFill="1" applyBorder="1" applyAlignment="1" applyProtection="1">
      <alignment horizontal="center"/>
      <protection hidden="1"/>
    </xf>
    <xf numFmtId="3" fontId="0" fillId="36" borderId="42" xfId="0" applyNumberFormat="1" applyFont="1" applyFill="1" applyBorder="1" applyAlignment="1" applyProtection="1">
      <alignment horizontal="center"/>
      <protection hidden="1"/>
    </xf>
    <xf numFmtId="165" fontId="8" fillId="36" borderId="42" xfId="46" applyNumberFormat="1" applyFont="1" applyFill="1" applyBorder="1" applyAlignment="1" applyProtection="1">
      <alignment/>
      <protection hidden="1"/>
    </xf>
    <xf numFmtId="164" fontId="0" fillId="0" borderId="22" xfId="0" applyNumberFormat="1" applyFill="1" applyBorder="1" applyAlignment="1" applyProtection="1">
      <alignment/>
      <protection hidden="1"/>
    </xf>
    <xf numFmtId="4" fontId="0" fillId="0" borderId="34" xfId="0" applyNumberFormat="1" applyFill="1" applyBorder="1" applyAlignment="1" applyProtection="1">
      <alignment/>
      <protection hidden="1"/>
    </xf>
    <xf numFmtId="4" fontId="0" fillId="0" borderId="33" xfId="0" applyNumberFormat="1" applyFont="1" applyBorder="1" applyAlignment="1" applyProtection="1">
      <alignment/>
      <protection hidden="1"/>
    </xf>
    <xf numFmtId="0" fontId="0" fillId="40" borderId="53" xfId="0" applyFont="1" applyFill="1" applyBorder="1" applyAlignment="1" applyProtection="1">
      <alignment/>
      <protection hidden="1"/>
    </xf>
    <xf numFmtId="0" fontId="0" fillId="40" borderId="54" xfId="0" applyFont="1" applyFill="1" applyBorder="1" applyAlignment="1" applyProtection="1">
      <alignment/>
      <protection hidden="1"/>
    </xf>
    <xf numFmtId="0" fontId="0" fillId="40" borderId="55" xfId="0" applyFont="1" applyFill="1" applyBorder="1" applyAlignment="1" applyProtection="1">
      <alignment/>
      <protection hidden="1"/>
    </xf>
    <xf numFmtId="0" fontId="0" fillId="40" borderId="43" xfId="0" applyFont="1" applyFill="1" applyBorder="1" applyAlignment="1" applyProtection="1">
      <alignment/>
      <protection hidden="1"/>
    </xf>
    <xf numFmtId="0" fontId="0" fillId="40" borderId="0" xfId="0" applyFont="1" applyFill="1" applyBorder="1" applyAlignment="1" applyProtection="1">
      <alignment/>
      <protection hidden="1"/>
    </xf>
    <xf numFmtId="0" fontId="0" fillId="40" borderId="45" xfId="0" applyFont="1" applyFill="1" applyBorder="1" applyAlignment="1" applyProtection="1">
      <alignment horizontal="right"/>
      <protection hidden="1"/>
    </xf>
    <xf numFmtId="0" fontId="0" fillId="40" borderId="56" xfId="0" applyFont="1" applyFill="1" applyBorder="1" applyAlignment="1" applyProtection="1">
      <alignment/>
      <protection hidden="1"/>
    </xf>
    <xf numFmtId="0" fontId="0" fillId="40" borderId="57" xfId="0" applyFont="1" applyFill="1" applyBorder="1" applyAlignment="1" applyProtection="1">
      <alignment/>
      <protection hidden="1"/>
    </xf>
    <xf numFmtId="0" fontId="0" fillId="41" borderId="43" xfId="0" applyFont="1" applyFill="1" applyBorder="1" applyAlignment="1" applyProtection="1">
      <alignment/>
      <protection hidden="1"/>
    </xf>
    <xf numFmtId="0" fontId="0" fillId="41" borderId="0" xfId="0" applyFont="1" applyFill="1" applyBorder="1" applyAlignment="1" applyProtection="1">
      <alignment/>
      <protection hidden="1"/>
    </xf>
    <xf numFmtId="0" fontId="0" fillId="41" borderId="45" xfId="0" applyFont="1" applyFill="1" applyBorder="1" applyAlignment="1" applyProtection="1">
      <alignment/>
      <protection hidden="1"/>
    </xf>
    <xf numFmtId="0" fontId="0" fillId="41" borderId="56" xfId="0" applyFont="1" applyFill="1" applyBorder="1" applyAlignment="1" applyProtection="1">
      <alignment/>
      <protection hidden="1"/>
    </xf>
    <xf numFmtId="0" fontId="0" fillId="41" borderId="57" xfId="0" applyFont="1" applyFill="1" applyBorder="1" applyAlignment="1" applyProtection="1">
      <alignment/>
      <protection hidden="1"/>
    </xf>
    <xf numFmtId="0" fontId="0" fillId="41" borderId="58" xfId="0" applyFont="1" applyFill="1" applyBorder="1" applyAlignment="1" applyProtection="1">
      <alignment/>
      <protection hidden="1"/>
    </xf>
    <xf numFmtId="0" fontId="0" fillId="41" borderId="59" xfId="0" applyFont="1" applyFill="1" applyBorder="1" applyAlignment="1" applyProtection="1">
      <alignment/>
      <protection hidden="1"/>
    </xf>
    <xf numFmtId="3" fontId="12" fillId="41" borderId="48" xfId="0" applyNumberFormat="1" applyFont="1" applyFill="1" applyBorder="1" applyAlignment="1" applyProtection="1">
      <alignment horizontal="center"/>
      <protection hidden="1" locked="0"/>
    </xf>
    <xf numFmtId="3" fontId="12" fillId="41" borderId="47" xfId="0" applyNumberFormat="1" applyFont="1" applyFill="1" applyBorder="1" applyAlignment="1" applyProtection="1">
      <alignment horizontal="center"/>
      <protection hidden="1" locked="0"/>
    </xf>
    <xf numFmtId="0" fontId="3" fillId="42" borderId="60" xfId="0" applyFont="1" applyFill="1" applyBorder="1" applyAlignment="1" applyProtection="1">
      <alignment horizontal="center" vertical="center" wrapText="1"/>
      <protection hidden="1"/>
    </xf>
    <xf numFmtId="0" fontId="3" fillId="42" borderId="48" xfId="0" applyFont="1" applyFill="1" applyBorder="1" applyAlignment="1" applyProtection="1">
      <alignment horizontal="center" vertical="top" wrapText="1"/>
      <protection hidden="1"/>
    </xf>
    <xf numFmtId="3" fontId="4" fillId="42" borderId="60" xfId="0" applyNumberFormat="1" applyFont="1" applyFill="1" applyBorder="1" applyAlignment="1" applyProtection="1">
      <alignment horizontal="center"/>
      <protection hidden="1"/>
    </xf>
    <xf numFmtId="3" fontId="4" fillId="42" borderId="48" xfId="0" applyNumberFormat="1" applyFont="1" applyFill="1" applyBorder="1" applyAlignment="1" applyProtection="1">
      <alignment horizontal="center"/>
      <protection hidden="1"/>
    </xf>
    <xf numFmtId="0" fontId="0" fillId="42" borderId="48" xfId="0" applyFill="1" applyBorder="1" applyAlignment="1" applyProtection="1">
      <alignment/>
      <protection hidden="1"/>
    </xf>
    <xf numFmtId="0" fontId="3" fillId="42" borderId="56" xfId="0" applyFont="1" applyFill="1" applyBorder="1" applyAlignment="1" applyProtection="1">
      <alignment/>
      <protection hidden="1"/>
    </xf>
    <xf numFmtId="0" fontId="0" fillId="42" borderId="43" xfId="0" applyFill="1" applyBorder="1" applyAlignment="1" applyProtection="1">
      <alignment/>
      <protection hidden="1"/>
    </xf>
    <xf numFmtId="0" fontId="0" fillId="42" borderId="0" xfId="0" applyFill="1" applyBorder="1" applyAlignment="1" applyProtection="1">
      <alignment/>
      <protection hidden="1"/>
    </xf>
    <xf numFmtId="3" fontId="0" fillId="42" borderId="44" xfId="0" applyNumberFormat="1" applyFill="1" applyBorder="1" applyAlignment="1" applyProtection="1">
      <alignment/>
      <protection hidden="1"/>
    </xf>
    <xf numFmtId="3" fontId="0" fillId="42" borderId="45" xfId="0" applyNumberFormat="1" applyFill="1" applyBorder="1" applyAlignment="1" applyProtection="1">
      <alignment/>
      <protection hidden="1"/>
    </xf>
    <xf numFmtId="0" fontId="0" fillId="42" borderId="0" xfId="0" applyFill="1" applyAlignment="1" applyProtection="1">
      <alignment/>
      <protection hidden="1"/>
    </xf>
    <xf numFmtId="3" fontId="4" fillId="42" borderId="46" xfId="0" applyNumberFormat="1" applyFont="1" applyFill="1" applyBorder="1" applyAlignment="1" applyProtection="1">
      <alignment horizontal="center"/>
      <protection hidden="1"/>
    </xf>
    <xf numFmtId="3" fontId="4" fillId="42" borderId="47" xfId="0" applyNumberFormat="1" applyFont="1" applyFill="1" applyBorder="1" applyAlignment="1" applyProtection="1">
      <alignment horizontal="center"/>
      <protection hidden="1"/>
    </xf>
    <xf numFmtId="0" fontId="3" fillId="42" borderId="48" xfId="0" applyFont="1" applyFill="1" applyBorder="1" applyAlignment="1" applyProtection="1">
      <alignment/>
      <protection hidden="1"/>
    </xf>
    <xf numFmtId="0" fontId="3" fillId="42" borderId="60" xfId="0" applyFont="1" applyFill="1" applyBorder="1" applyAlignment="1" applyProtection="1">
      <alignment/>
      <protection hidden="1"/>
    </xf>
    <xf numFmtId="0" fontId="3" fillId="0" borderId="0" xfId="0" applyFont="1" applyAlignment="1" applyProtection="1">
      <alignment vertical="top"/>
      <protection hidden="1"/>
    </xf>
    <xf numFmtId="0" fontId="9" fillId="0" borderId="0" xfId="0" applyFont="1" applyBorder="1" applyAlignment="1" applyProtection="1">
      <alignment vertical="top"/>
      <protection hidden="1"/>
    </xf>
    <xf numFmtId="0" fontId="3" fillId="43" borderId="55" xfId="0" applyFont="1" applyFill="1" applyBorder="1" applyAlignment="1" applyProtection="1">
      <alignment horizontal="center"/>
      <protection hidden="1" locked="0"/>
    </xf>
    <xf numFmtId="0" fontId="3" fillId="43" borderId="45" xfId="0" applyFont="1" applyFill="1" applyBorder="1" applyAlignment="1" applyProtection="1">
      <alignment horizontal="center"/>
      <protection hidden="1" locked="0"/>
    </xf>
    <xf numFmtId="3" fontId="3" fillId="43" borderId="45" xfId="0" applyNumberFormat="1" applyFont="1" applyFill="1" applyBorder="1" applyAlignment="1" applyProtection="1">
      <alignment horizontal="center"/>
      <protection hidden="1" locked="0"/>
    </xf>
    <xf numFmtId="0" fontId="3" fillId="43" borderId="61" xfId="0" applyFont="1" applyFill="1" applyBorder="1" applyAlignment="1" applyProtection="1">
      <alignment horizontal="center"/>
      <protection hidden="1" locked="0"/>
    </xf>
    <xf numFmtId="0" fontId="3" fillId="43" borderId="44" xfId="0" applyFont="1" applyFill="1" applyBorder="1" applyAlignment="1" applyProtection="1">
      <alignment horizontal="center"/>
      <protection hidden="1" locked="0"/>
    </xf>
    <xf numFmtId="3" fontId="3" fillId="43" borderId="46" xfId="0" applyNumberFormat="1" applyFont="1" applyFill="1" applyBorder="1" applyAlignment="1" applyProtection="1">
      <alignment horizontal="center"/>
      <protection hidden="1" locked="0"/>
    </xf>
    <xf numFmtId="166" fontId="54" fillId="44" borderId="54" xfId="0" applyNumberFormat="1" applyFont="1" applyFill="1" applyBorder="1" applyAlignment="1" applyProtection="1">
      <alignment horizontal="left"/>
      <protection hidden="1"/>
    </xf>
    <xf numFmtId="10" fontId="54" fillId="44" borderId="59" xfId="0" applyNumberFormat="1" applyFont="1" applyFill="1" applyBorder="1" applyAlignment="1" applyProtection="1">
      <alignment horizontal="left"/>
      <protection hidden="1"/>
    </xf>
    <xf numFmtId="0" fontId="55" fillId="44" borderId="55" xfId="0" applyFont="1" applyFill="1" applyBorder="1" applyAlignment="1" applyProtection="1">
      <alignment/>
      <protection hidden="1"/>
    </xf>
    <xf numFmtId="10" fontId="3" fillId="44" borderId="47" xfId="0" applyNumberFormat="1" applyFont="1" applyFill="1" applyBorder="1" applyAlignment="1" applyProtection="1">
      <alignment/>
      <protection hidden="1"/>
    </xf>
    <xf numFmtId="0" fontId="55" fillId="44" borderId="53" xfId="0" applyFont="1" applyFill="1" applyBorder="1" applyAlignment="1" applyProtection="1">
      <alignment horizontal="right"/>
      <protection hidden="1"/>
    </xf>
    <xf numFmtId="0" fontId="55" fillId="44" borderId="54" xfId="0" applyFont="1" applyFill="1" applyBorder="1" applyAlignment="1" applyProtection="1">
      <alignment horizontal="right"/>
      <protection hidden="1"/>
    </xf>
    <xf numFmtId="0" fontId="55" fillId="44" borderId="58" xfId="0" applyFont="1" applyFill="1" applyBorder="1" applyAlignment="1" applyProtection="1">
      <alignment horizontal="right"/>
      <protection hidden="1"/>
    </xf>
    <xf numFmtId="0" fontId="55" fillId="44" borderId="59" xfId="0" applyFont="1" applyFill="1" applyBorder="1" applyAlignment="1" applyProtection="1">
      <alignment horizontal="right"/>
      <protection hidden="1"/>
    </xf>
    <xf numFmtId="0" fontId="54" fillId="44" borderId="62" xfId="0" applyFont="1" applyFill="1" applyBorder="1" applyAlignment="1" applyProtection="1">
      <alignment horizontal="center" vertical="center"/>
      <protection hidden="1"/>
    </xf>
    <xf numFmtId="0" fontId="54" fillId="44" borderId="63" xfId="0" applyFont="1" applyFill="1" applyBorder="1" applyAlignment="1" applyProtection="1">
      <alignment horizontal="center" vertical="center"/>
      <protection hidden="1"/>
    </xf>
    <xf numFmtId="0" fontId="54" fillId="44" borderId="64" xfId="0" applyFont="1" applyFill="1" applyBorder="1" applyAlignment="1" applyProtection="1">
      <alignment horizontal="center" vertical="center"/>
      <protection hidden="1"/>
    </xf>
    <xf numFmtId="0" fontId="0" fillId="0" borderId="0" xfId="0" applyNumberFormat="1" applyFont="1" applyAlignment="1" applyProtection="1">
      <alignment horizontal="left" vertical="center" wrapText="1"/>
      <protection hidden="1"/>
    </xf>
    <xf numFmtId="0" fontId="0" fillId="0" borderId="0" xfId="0" applyNumberFormat="1" applyAlignment="1" applyProtection="1">
      <alignment horizontal="left" vertical="center" wrapText="1"/>
      <protection hidden="1"/>
    </xf>
    <xf numFmtId="0" fontId="0" fillId="0" borderId="0" xfId="0" applyAlignment="1">
      <alignment horizontal="left" wrapText="1"/>
    </xf>
    <xf numFmtId="0" fontId="0" fillId="0" borderId="0" xfId="0" applyAlignment="1">
      <alignment wrapText="1"/>
    </xf>
    <xf numFmtId="0" fontId="3" fillId="0" borderId="10"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3" fillId="0" borderId="28" xfId="0" applyFont="1" applyBorder="1" applyAlignment="1" applyProtection="1">
      <alignment horizontal="center"/>
      <protection hidden="1"/>
    </xf>
    <xf numFmtId="0" fontId="8" fillId="36" borderId="51" xfId="0" applyFont="1" applyFill="1" applyBorder="1" applyAlignment="1" applyProtection="1">
      <alignment horizontal="center" wrapText="1"/>
      <protection hidden="1"/>
    </xf>
    <xf numFmtId="0" fontId="8" fillId="36" borderId="52" xfId="0" applyFont="1" applyFill="1" applyBorder="1" applyAlignment="1" applyProtection="1">
      <alignment horizontal="center" wrapText="1"/>
      <protection hidden="1"/>
    </xf>
    <xf numFmtId="165" fontId="8" fillId="36" borderId="51" xfId="46" applyNumberFormat="1" applyFont="1" applyFill="1" applyBorder="1" applyAlignment="1" applyProtection="1">
      <alignment/>
      <protection hidden="1"/>
    </xf>
    <xf numFmtId="165" fontId="8" fillId="36" borderId="52" xfId="46" applyNumberFormat="1" applyFont="1" applyFill="1" applyBorder="1" applyAlignment="1" applyProtection="1">
      <alignment/>
      <protection hidden="1"/>
    </xf>
    <xf numFmtId="0" fontId="0" fillId="0" borderId="65" xfId="0" applyBorder="1" applyAlignment="1" applyProtection="1">
      <alignment/>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1323975</xdr:colOff>
      <xdr:row>66</xdr:row>
      <xdr:rowOff>66675</xdr:rowOff>
    </xdr:from>
    <xdr:to>
      <xdr:col>3</xdr:col>
      <xdr:colOff>2133600</xdr:colOff>
      <xdr:row>67</xdr:row>
      <xdr:rowOff>447675</xdr:rowOff>
    </xdr:to>
    <xdr:pic>
      <xdr:nvPicPr>
        <xdr:cNvPr id="1" name="Image 4" descr="logo_cea.png"/>
        <xdr:cNvPicPr preferRelativeResize="1">
          <a:picLocks noChangeAspect="1"/>
        </xdr:cNvPicPr>
      </xdr:nvPicPr>
      <xdr:blipFill>
        <a:blip r:embed="rId1"/>
        <a:stretch>
          <a:fillRect/>
        </a:stretch>
      </xdr:blipFill>
      <xdr:spPr>
        <a:xfrm>
          <a:off x="5429250" y="11391900"/>
          <a:ext cx="24574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vuefiduciaire.grouperf.com/article/3427/hb/rfiduchb3427_3438773.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dimension ref="A1:H68"/>
  <sheetViews>
    <sheetView showGridLines="0" tabSelected="1" zoomScale="85" zoomScaleNormal="85" zoomScalePageLayoutView="0" workbookViewId="0" topLeftCell="A1">
      <selection activeCell="A64" sqref="A64:D67"/>
    </sheetView>
  </sheetViews>
  <sheetFormatPr defaultColWidth="0" defaultRowHeight="12.75" zeroHeight="1"/>
  <cols>
    <col min="1" max="1" width="38.00390625" style="1" customWidth="1"/>
    <col min="2" max="2" width="23.57421875" style="1" customWidth="1"/>
    <col min="3" max="3" width="24.7109375" style="1" bestFit="1" customWidth="1"/>
    <col min="4" max="4" width="38.00390625" style="1" customWidth="1"/>
    <col min="5" max="16384" width="0" style="1" hidden="1" customWidth="1"/>
  </cols>
  <sheetData>
    <row r="1" spans="1:4" ht="48.75" customHeight="1" thickBot="1">
      <c r="A1" s="186" t="s">
        <v>125</v>
      </c>
      <c r="B1" s="187"/>
      <c r="C1" s="187"/>
      <c r="D1" s="188"/>
    </row>
    <row r="2" ht="12.75"/>
    <row r="3" spans="1:4" ht="12.75">
      <c r="A3" s="100" t="s">
        <v>90</v>
      </c>
      <c r="B3" s="7"/>
      <c r="C3" s="7"/>
      <c r="D3" s="7"/>
    </row>
    <row r="4" spans="2:4" ht="12.75">
      <c r="B4" s="7"/>
      <c r="C4" s="7"/>
      <c r="D4" s="7"/>
    </row>
    <row r="5" spans="1:4" ht="12.75">
      <c r="A5" s="123" t="s">
        <v>101</v>
      </c>
      <c r="B5" s="7"/>
      <c r="C5" s="7"/>
      <c r="D5" s="7"/>
    </row>
    <row r="6" spans="2:4" ht="12.75">
      <c r="B6" s="7"/>
      <c r="C6" s="7"/>
      <c r="D6" s="7"/>
    </row>
    <row r="7" spans="1:4" ht="12.75">
      <c r="A7" s="123" t="s">
        <v>126</v>
      </c>
      <c r="B7" s="7"/>
      <c r="C7" s="7"/>
      <c r="D7" s="7"/>
    </row>
    <row r="8" spans="1:4" ht="12.75" hidden="1">
      <c r="A8" s="123"/>
      <c r="B8" s="7"/>
      <c r="C8" s="7"/>
      <c r="D8" s="7"/>
    </row>
    <row r="9" spans="1:4" ht="12.75" hidden="1">
      <c r="A9" s="123"/>
      <c r="B9" s="7"/>
      <c r="C9" s="7"/>
      <c r="D9" s="7"/>
    </row>
    <row r="10" spans="1:4" ht="12.75">
      <c r="A10" s="123"/>
      <c r="B10" s="7"/>
      <c r="C10" s="7"/>
      <c r="D10" s="7"/>
    </row>
    <row r="11" ht="12.75"/>
    <row r="12" ht="19.5" customHeight="1" thickBot="1">
      <c r="A12" s="171" t="s">
        <v>91</v>
      </c>
    </row>
    <row r="13" spans="1:5" ht="12.75">
      <c r="A13" s="138" t="s">
        <v>67</v>
      </c>
      <c r="B13" s="139"/>
      <c r="C13" s="140"/>
      <c r="D13" s="172" t="s">
        <v>68</v>
      </c>
      <c r="E13" s="47">
        <f>IF(OR(D13="OUI",D13="NON"),"","INDIQUER EN MAJUSCULE OUI OU NON")</f>
      </c>
    </row>
    <row r="14" spans="1:4" ht="12.75">
      <c r="A14" s="146" t="s">
        <v>64</v>
      </c>
      <c r="B14" s="147"/>
      <c r="C14" s="148"/>
      <c r="D14" s="173">
        <v>9</v>
      </c>
    </row>
    <row r="15" spans="1:4" ht="12.75">
      <c r="A15" s="141" t="s">
        <v>100</v>
      </c>
      <c r="B15" s="142"/>
      <c r="C15" s="143" t="s">
        <v>118</v>
      </c>
      <c r="D15" s="174">
        <v>36372</v>
      </c>
    </row>
    <row r="16" spans="1:5" ht="12.75">
      <c r="A16" s="146" t="s">
        <v>81</v>
      </c>
      <c r="B16" s="147"/>
      <c r="C16" s="148"/>
      <c r="D16" s="173" t="s">
        <v>84</v>
      </c>
      <c r="E16" s="1">
        <f>IF(OR(D16="OUI",D16="NON"),"","INDIQUER EN MAJUSCULE OUI OU NON")</f>
      </c>
    </row>
    <row r="17" spans="1:4" ht="13.5" thickBot="1">
      <c r="A17" s="141" t="s">
        <v>80</v>
      </c>
      <c r="B17" s="142"/>
      <c r="C17" s="143" t="s">
        <v>119</v>
      </c>
      <c r="D17" s="173">
        <v>9.22</v>
      </c>
    </row>
    <row r="18" spans="1:4" ht="16.5" thickBot="1">
      <c r="A18" s="149" t="s">
        <v>122</v>
      </c>
      <c r="B18" s="150"/>
      <c r="C18" s="175"/>
      <c r="D18" s="153" t="b">
        <v>0</v>
      </c>
    </row>
    <row r="19" spans="1:4" ht="16.5" thickBot="1">
      <c r="A19" s="144" t="s">
        <v>123</v>
      </c>
      <c r="B19" s="145"/>
      <c r="C19" s="176"/>
      <c r="D19" s="122">
        <v>321.6719783858186</v>
      </c>
    </row>
    <row r="20" spans="1:4" ht="16.5" thickBot="1">
      <c r="A20" s="151" t="s">
        <v>124</v>
      </c>
      <c r="B20" s="152"/>
      <c r="C20" s="177"/>
      <c r="D20" s="154">
        <f>TS!C55</f>
        <v>0</v>
      </c>
    </row>
    <row r="21" ht="9.75" customHeight="1"/>
    <row r="22" ht="12" customHeight="1" thickBot="1">
      <c r="B22" s="7"/>
    </row>
    <row r="23" spans="1:4" ht="25.5" customHeight="1" thickBot="1">
      <c r="A23" s="171" t="s">
        <v>92</v>
      </c>
      <c r="B23" s="7"/>
      <c r="C23" s="155" t="s">
        <v>29</v>
      </c>
      <c r="D23" s="156" t="s">
        <v>30</v>
      </c>
    </row>
    <row r="24" spans="1:4" ht="15.75" thickBot="1">
      <c r="A24" s="160" t="s">
        <v>28</v>
      </c>
      <c r="B24" s="159"/>
      <c r="C24" s="157" t="b">
        <f>D18</f>
        <v>0</v>
      </c>
      <c r="D24" s="158" t="b">
        <f>D18</f>
        <v>0</v>
      </c>
    </row>
    <row r="25" spans="1:4" ht="12.75">
      <c r="A25" s="97"/>
      <c r="B25" s="7"/>
      <c r="C25" s="98"/>
      <c r="D25" s="99"/>
    </row>
    <row r="26" spans="1:4" ht="12.75">
      <c r="A26" s="161" t="s">
        <v>0</v>
      </c>
      <c r="B26" s="162"/>
      <c r="C26" s="163">
        <f>TNS!C8</f>
        <v>13093.92</v>
      </c>
      <c r="D26" s="164">
        <f>TS!I8</f>
        <v>43.58655307127842</v>
      </c>
    </row>
    <row r="27" spans="1:4" ht="12.75">
      <c r="A27" s="103" t="s">
        <v>1</v>
      </c>
      <c r="B27" s="104"/>
      <c r="C27" s="105">
        <f>TNS!C9</f>
        <v>0</v>
      </c>
      <c r="D27" s="106">
        <f>TS!I12</f>
        <v>17.370286832834203</v>
      </c>
    </row>
    <row r="28" spans="1:4" s="165" customFormat="1" ht="12.75">
      <c r="A28" s="161" t="s">
        <v>3</v>
      </c>
      <c r="B28" s="162"/>
      <c r="C28" s="163">
        <f>+TNS!C10</f>
        <v>5568.5532</v>
      </c>
      <c r="D28" s="164">
        <f>TS!I9+TS!I10</f>
        <v>53.558384401238804</v>
      </c>
    </row>
    <row r="29" spans="1:4" ht="12.75">
      <c r="A29" s="103"/>
      <c r="B29" s="104"/>
      <c r="C29" s="105"/>
      <c r="D29" s="106"/>
    </row>
    <row r="30" spans="1:4" s="165" customFormat="1" ht="12.75">
      <c r="A30" s="161" t="s">
        <v>2</v>
      </c>
      <c r="B30" s="162"/>
      <c r="C30" s="163"/>
      <c r="D30" s="164"/>
    </row>
    <row r="31" spans="1:4" ht="12.75">
      <c r="A31" s="103"/>
      <c r="B31" s="104" t="s">
        <v>4</v>
      </c>
      <c r="C31" s="105">
        <f>TNS!C13</f>
        <v>10920</v>
      </c>
      <c r="D31" s="106"/>
    </row>
    <row r="32" spans="1:4" s="165" customFormat="1" ht="12.75">
      <c r="A32" s="161"/>
      <c r="B32" s="162" t="s">
        <v>21</v>
      </c>
      <c r="C32" s="163"/>
      <c r="D32" s="164">
        <f>TS!I27</f>
        <v>24.125398378936392</v>
      </c>
    </row>
    <row r="33" spans="1:4" ht="12.75">
      <c r="A33" s="103"/>
      <c r="B33" s="104" t="s">
        <v>22</v>
      </c>
      <c r="C33" s="105"/>
      <c r="D33" s="106">
        <f>TS!I32</f>
        <v>0</v>
      </c>
    </row>
    <row r="34" spans="1:4" s="165" customFormat="1" ht="12.75">
      <c r="A34" s="161"/>
      <c r="B34" s="162" t="s">
        <v>5</v>
      </c>
      <c r="C34" s="163"/>
      <c r="D34" s="164">
        <f>TS!I26</f>
        <v>6.433439567716372</v>
      </c>
    </row>
    <row r="35" spans="1:4" ht="12.75">
      <c r="A35" s="103"/>
      <c r="B35" s="104" t="s">
        <v>6</v>
      </c>
      <c r="C35" s="105"/>
      <c r="D35" s="106">
        <f>TS!I31</f>
        <v>0</v>
      </c>
    </row>
    <row r="36" spans="1:4" s="165" customFormat="1" ht="12.75">
      <c r="A36" s="161"/>
      <c r="B36" s="162" t="s">
        <v>7</v>
      </c>
      <c r="C36" s="163"/>
      <c r="D36" s="164">
        <f>TS!I35</f>
        <v>0</v>
      </c>
    </row>
    <row r="37" spans="1:4" ht="12.75">
      <c r="A37" s="103"/>
      <c r="B37" s="104" t="s">
        <v>26</v>
      </c>
      <c r="C37" s="105"/>
      <c r="D37" s="106">
        <f>TS!I36</f>
        <v>0.19300318703149116</v>
      </c>
    </row>
    <row r="38" spans="1:4" s="165" customFormat="1" ht="12.75">
      <c r="A38" s="161"/>
      <c r="B38" s="162" t="s">
        <v>27</v>
      </c>
      <c r="C38" s="163"/>
      <c r="D38" s="164">
        <f>TS!I33</f>
        <v>679.48566</v>
      </c>
    </row>
    <row r="39" spans="1:4" ht="12.75">
      <c r="A39" s="103"/>
      <c r="B39" s="104" t="s">
        <v>20</v>
      </c>
      <c r="C39" s="105"/>
      <c r="D39" s="106">
        <f>TS!I34</f>
        <v>1.125851924350365</v>
      </c>
    </row>
    <row r="40" spans="1:4" s="165" customFormat="1" ht="12.75">
      <c r="A40" s="161" t="s">
        <v>8</v>
      </c>
      <c r="B40" s="162"/>
      <c r="C40" s="163">
        <f>TNS!C14</f>
        <v>76</v>
      </c>
      <c r="D40" s="164" t="s">
        <v>23</v>
      </c>
    </row>
    <row r="41" spans="1:4" ht="12.75">
      <c r="A41" s="103" t="s">
        <v>24</v>
      </c>
      <c r="B41" s="104"/>
      <c r="C41" s="105" t="s">
        <v>17</v>
      </c>
      <c r="D41" s="106">
        <f>TS!I11</f>
        <v>4.1817357190156415</v>
      </c>
    </row>
    <row r="42" spans="1:4" s="165" customFormat="1" ht="12.75">
      <c r="A42" s="161" t="s">
        <v>9</v>
      </c>
      <c r="B42" s="162"/>
      <c r="C42" s="163" t="s">
        <v>18</v>
      </c>
      <c r="D42" s="164">
        <f>TS!I42</f>
        <v>8.073966657484046</v>
      </c>
    </row>
    <row r="43" spans="1:4" ht="12.75">
      <c r="A43" s="103" t="s">
        <v>25</v>
      </c>
      <c r="B43" s="104"/>
      <c r="C43" s="105" t="s">
        <v>18</v>
      </c>
      <c r="D43" s="106">
        <f>TS!I13+TS!I14</f>
        <v>0.3216719783858186</v>
      </c>
    </row>
    <row r="44" spans="1:4" s="165" customFormat="1" ht="12.75">
      <c r="A44" s="161" t="s">
        <v>89</v>
      </c>
      <c r="B44" s="162"/>
      <c r="C44" s="163">
        <f>TNS!C18</f>
        <v>2224.38549</v>
      </c>
      <c r="D44" s="164">
        <f>(TS!C4+TS!G40)*0.97*0.075</f>
        <v>23.896347021647095</v>
      </c>
    </row>
    <row r="45" spans="1:8" ht="12.75">
      <c r="A45" s="103" t="s">
        <v>11</v>
      </c>
      <c r="B45" s="104"/>
      <c r="C45" s="105">
        <f>TNS!C19</f>
        <v>148.29236600000002</v>
      </c>
      <c r="D45" s="106">
        <f>(TS!C4+TS!G40)*0.97*0.005</f>
        <v>1.5930898014431398</v>
      </c>
      <c r="H45" s="96"/>
    </row>
    <row r="46" spans="1:4" s="165" customFormat="1" ht="12.75">
      <c r="A46" s="161" t="s">
        <v>12</v>
      </c>
      <c r="B46" s="162"/>
      <c r="C46" s="163" t="s">
        <v>18</v>
      </c>
      <c r="D46" s="164">
        <f>TS!I21</f>
        <v>0</v>
      </c>
    </row>
    <row r="47" spans="1:4" ht="12.75">
      <c r="A47" s="103" t="s">
        <v>13</v>
      </c>
      <c r="B47" s="104"/>
      <c r="C47" s="105" t="s">
        <v>18</v>
      </c>
      <c r="D47" s="106">
        <f>TS!I22</f>
        <v>0</v>
      </c>
    </row>
    <row r="48" spans="1:4" s="165" customFormat="1" ht="12.75">
      <c r="A48" s="161" t="s">
        <v>14</v>
      </c>
      <c r="B48" s="162"/>
      <c r="C48" s="163">
        <f>TNS!C22</f>
        <v>54.558</v>
      </c>
      <c r="D48" s="164">
        <f>TS!I46</f>
        <v>1.769195881122002</v>
      </c>
    </row>
    <row r="49" spans="1:4" ht="12.75">
      <c r="A49" s="103" t="s">
        <v>15</v>
      </c>
      <c r="B49" s="104"/>
      <c r="C49" s="105" t="s">
        <v>18</v>
      </c>
      <c r="D49" s="106">
        <f>TS!I15</f>
        <v>0.9650159351574558</v>
      </c>
    </row>
    <row r="50" spans="1:4" s="165" customFormat="1" ht="12.75">
      <c r="A50" s="161" t="s">
        <v>16</v>
      </c>
      <c r="B50" s="162"/>
      <c r="C50" s="163"/>
      <c r="D50" s="164">
        <f>TS!I45</f>
        <v>2.187369453023566</v>
      </c>
    </row>
    <row r="51" spans="1:4" ht="12.75">
      <c r="A51" s="103" t="s">
        <v>69</v>
      </c>
      <c r="B51" s="104"/>
      <c r="C51" s="105"/>
      <c r="D51" s="106">
        <f>TS!I44</f>
        <v>0</v>
      </c>
    </row>
    <row r="52" spans="1:4" s="165" customFormat="1" ht="12.75">
      <c r="A52" s="161" t="s">
        <v>71</v>
      </c>
      <c r="B52" s="162"/>
      <c r="C52" s="163"/>
      <c r="D52" s="164">
        <f>TS!I47</f>
        <v>0</v>
      </c>
    </row>
    <row r="53" spans="1:4" ht="13.5" thickBot="1">
      <c r="A53" s="103"/>
      <c r="B53" s="104"/>
      <c r="C53" s="107"/>
      <c r="D53" s="108"/>
    </row>
    <row r="54" spans="1:4" s="165" customFormat="1" ht="15.75" thickBot="1">
      <c r="A54" s="160" t="s">
        <v>19</v>
      </c>
      <c r="B54" s="159"/>
      <c r="C54" s="166">
        <f>SUM(C26:C40)+C44+C45+C48</f>
        <v>32085.709056000003</v>
      </c>
      <c r="D54" s="167">
        <f>SUM(D26:D39)+SUM(D41:D53)</f>
        <v>868.8669698106648</v>
      </c>
    </row>
    <row r="55" spans="1:4" ht="13.5" thickBot="1">
      <c r="A55" s="7"/>
      <c r="B55" s="7"/>
      <c r="C55" s="7"/>
      <c r="D55" s="7"/>
    </row>
    <row r="56" spans="1:4" s="165" customFormat="1" ht="15.75" thickBot="1">
      <c r="A56" s="160" t="s">
        <v>120</v>
      </c>
      <c r="B56" s="168"/>
      <c r="C56" s="157" t="b">
        <f>D18</f>
        <v>0</v>
      </c>
      <c r="D56" s="157" t="b">
        <f>D18</f>
        <v>0</v>
      </c>
    </row>
    <row r="57" spans="1:4" s="165" customFormat="1" ht="15.75" thickBot="1">
      <c r="A57" s="169" t="s">
        <v>121</v>
      </c>
      <c r="B57" s="169"/>
      <c r="C57" s="157">
        <f>C56+C54</f>
        <v>32085.709056000003</v>
      </c>
      <c r="D57" s="157">
        <f>D56+D54</f>
        <v>868.8669698106648</v>
      </c>
    </row>
    <row r="58" spans="1:4" ht="13.5" thickBot="1">
      <c r="A58" s="7"/>
      <c r="B58" s="7"/>
      <c r="C58" s="7"/>
      <c r="D58" s="7"/>
    </row>
    <row r="59" spans="1:4" ht="18">
      <c r="A59" s="182" t="s">
        <v>98</v>
      </c>
      <c r="B59" s="183"/>
      <c r="C59" s="178">
        <f>+$D$57-$C$57</f>
        <v>-31216.84208618934</v>
      </c>
      <c r="D59" s="180"/>
    </row>
    <row r="60" spans="1:4" ht="18.75" thickBot="1">
      <c r="A60" s="184" t="s">
        <v>99</v>
      </c>
      <c r="B60" s="185"/>
      <c r="C60" s="179">
        <f>($D$57-$C$57)/C57</f>
        <v>-0.9729204373107601</v>
      </c>
      <c r="D60" s="181"/>
    </row>
    <row r="61" ht="13.5" customHeight="1" hidden="1"/>
    <row r="62" ht="9.75" customHeight="1" hidden="1"/>
    <row r="63" ht="12.75" hidden="1"/>
    <row r="64" spans="1:4" ht="12.75" hidden="1">
      <c r="A64" s="189" t="s">
        <v>116</v>
      </c>
      <c r="B64" s="190"/>
      <c r="C64" s="190"/>
      <c r="D64" s="190"/>
    </row>
    <row r="65" spans="1:4" ht="8.25" customHeight="1">
      <c r="A65" s="190"/>
      <c r="B65" s="190"/>
      <c r="C65" s="190"/>
      <c r="D65" s="190"/>
    </row>
    <row r="66" spans="1:4" ht="54.75" customHeight="1">
      <c r="A66" s="191"/>
      <c r="B66" s="191"/>
      <c r="C66" s="191"/>
      <c r="D66" s="191"/>
    </row>
    <row r="67" spans="1:4" ht="27.75" customHeight="1">
      <c r="A67" s="192"/>
      <c r="B67" s="192"/>
      <c r="C67" s="192"/>
      <c r="D67" s="192"/>
    </row>
    <row r="68" ht="38.25" customHeight="1">
      <c r="A68" s="170" t="s">
        <v>117</v>
      </c>
    </row>
  </sheetData>
  <sheetProtection password="D340" sheet="1"/>
  <protectedRanges>
    <protectedRange sqref="D13:D17" name="Plage1"/>
  </protectedRanges>
  <mergeCells count="4">
    <mergeCell ref="A59:B59"/>
    <mergeCell ref="A60:B60"/>
    <mergeCell ref="A1:D1"/>
    <mergeCell ref="A64:D67"/>
  </mergeCells>
  <printOptions horizontalCentered="1" verticalCentered="1"/>
  <pageMargins left="0.1968503937007874" right="0.15748031496062992" top="0.44" bottom="0.43" header="0.5118110236220472" footer="0.32"/>
  <pageSetup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codeName="Feuil3"/>
  <dimension ref="A1:I60"/>
  <sheetViews>
    <sheetView zoomScale="85" zoomScaleNormal="85" zoomScalePageLayoutView="0" workbookViewId="0" topLeftCell="A1">
      <selection activeCell="E46" sqref="E46"/>
    </sheetView>
  </sheetViews>
  <sheetFormatPr defaultColWidth="11.421875" defaultRowHeight="12.75"/>
  <cols>
    <col min="1" max="1" width="11.421875" style="1" customWidth="1"/>
    <col min="2" max="2" width="28.7109375" style="1" customWidth="1"/>
    <col min="3" max="3" width="14.28125" style="1" customWidth="1"/>
    <col min="4" max="5" width="11.421875" style="1" customWidth="1"/>
    <col min="6" max="6" width="12.8515625" style="1" customWidth="1"/>
    <col min="7" max="16384" width="11.421875" style="1" customWidth="1"/>
  </cols>
  <sheetData>
    <row r="1" spans="5:8" ht="15" thickBot="1">
      <c r="E1" s="109" t="s">
        <v>95</v>
      </c>
      <c r="F1" s="5"/>
      <c r="G1" s="95">
        <v>3347.22</v>
      </c>
      <c r="H1" s="114"/>
    </row>
    <row r="2" spans="2:7" ht="12.75">
      <c r="B2" s="2" t="s">
        <v>67</v>
      </c>
      <c r="C2" s="94" t="str">
        <f>'Simulateur TS TNS'!D13</f>
        <v>OUI</v>
      </c>
      <c r="D2" s="47">
        <f>IF(OR(C2="OUI",C2="NON"),"","ECRIR EN MAJUSCULE OUI OU NON")</f>
      </c>
      <c r="E2" s="111" t="s">
        <v>94</v>
      </c>
      <c r="F2" s="112"/>
      <c r="G2" s="110">
        <v>37946.64</v>
      </c>
    </row>
    <row r="3" spans="2:8" ht="12.75">
      <c r="B3" s="3" t="s">
        <v>64</v>
      </c>
      <c r="C3" s="4">
        <f>'Simulateur TS TNS'!D14</f>
        <v>9</v>
      </c>
      <c r="E3" s="109" t="s">
        <v>93</v>
      </c>
      <c r="F3" s="5"/>
      <c r="G3" s="95">
        <f>'Simulateur TS TNS'!D15</f>
        <v>36372</v>
      </c>
      <c r="H3" s="72"/>
    </row>
    <row r="4" spans="2:4" ht="13.5" thickBot="1">
      <c r="B4" s="6" t="s">
        <v>31</v>
      </c>
      <c r="C4" s="46">
        <f>'Simulateur TS TNS'!D19</f>
        <v>321.6719783858186</v>
      </c>
      <c r="D4" s="72"/>
    </row>
    <row r="5" spans="2:3" ht="13.5" thickBot="1">
      <c r="B5" s="7"/>
      <c r="C5" s="8"/>
    </row>
    <row r="6" spans="2:9" ht="12.75">
      <c r="B6" s="9"/>
      <c r="C6" s="10"/>
      <c r="D6" s="193" t="s">
        <v>57</v>
      </c>
      <c r="E6" s="194"/>
      <c r="F6" s="195" t="s">
        <v>58</v>
      </c>
      <c r="G6" s="195"/>
      <c r="H6" s="193" t="s">
        <v>59</v>
      </c>
      <c r="I6" s="194"/>
    </row>
    <row r="7" spans="2:9" ht="13.5" thickBot="1">
      <c r="B7" s="11"/>
      <c r="C7" s="12" t="s">
        <v>56</v>
      </c>
      <c r="D7" s="13" t="s">
        <v>60</v>
      </c>
      <c r="E7" s="14" t="s">
        <v>61</v>
      </c>
      <c r="F7" s="15" t="s">
        <v>62</v>
      </c>
      <c r="G7" s="15" t="s">
        <v>61</v>
      </c>
      <c r="H7" s="13" t="s">
        <v>62</v>
      </c>
      <c r="I7" s="14" t="s">
        <v>61</v>
      </c>
    </row>
    <row r="8" spans="2:9" ht="12.75">
      <c r="B8" s="113" t="s">
        <v>32</v>
      </c>
      <c r="C8" s="16">
        <f>C4</f>
        <v>321.6719783858186</v>
      </c>
      <c r="D8" s="17">
        <v>0.0075</v>
      </c>
      <c r="E8" s="18">
        <f>C8*D8</f>
        <v>2.412539837893639</v>
      </c>
      <c r="F8" s="22">
        <v>0.128</v>
      </c>
      <c r="G8" s="8">
        <f>C8*F8</f>
        <v>41.174013233384784</v>
      </c>
      <c r="H8" s="17">
        <f>D8+F8</f>
        <v>0.1355</v>
      </c>
      <c r="I8" s="92">
        <f>C8*H8</f>
        <v>43.58655307127842</v>
      </c>
    </row>
    <row r="9" spans="2:9" ht="12.75">
      <c r="B9" s="113" t="s">
        <v>33</v>
      </c>
      <c r="C9" s="16">
        <f>IF(C4&gt;G3,G3,C4)</f>
        <v>321.6719783858186</v>
      </c>
      <c r="D9" s="20">
        <v>0.0665</v>
      </c>
      <c r="E9" s="18">
        <f>C9*D9</f>
        <v>21.391186562656937</v>
      </c>
      <c r="F9" s="21">
        <v>0.083</v>
      </c>
      <c r="G9" s="8">
        <f aca="true" t="shared" si="0" ref="G9:G47">C9*F9</f>
        <v>26.698774206022943</v>
      </c>
      <c r="H9" s="17">
        <f aca="true" t="shared" si="1" ref="H9:H15">D9+F9</f>
        <v>0.14950000000000002</v>
      </c>
      <c r="I9" s="92">
        <f aca="true" t="shared" si="2" ref="I9:I47">C9*H9</f>
        <v>48.08996076867989</v>
      </c>
    </row>
    <row r="10" spans="2:9" ht="12.75">
      <c r="B10" s="113" t="s">
        <v>34</v>
      </c>
      <c r="C10" s="16">
        <f>C4</f>
        <v>321.6719783858186</v>
      </c>
      <c r="D10" s="17">
        <v>0.001</v>
      </c>
      <c r="E10" s="18">
        <f>C10*D10</f>
        <v>0.3216719783858186</v>
      </c>
      <c r="F10" s="19">
        <v>0.016</v>
      </c>
      <c r="G10" s="8">
        <f t="shared" si="0"/>
        <v>5.146751654173098</v>
      </c>
      <c r="H10" s="17">
        <f t="shared" si="1"/>
        <v>0.017</v>
      </c>
      <c r="I10" s="92">
        <f t="shared" si="2"/>
        <v>5.468423632558917</v>
      </c>
    </row>
    <row r="11" spans="2:9" ht="12.75">
      <c r="B11" s="113" t="s">
        <v>63</v>
      </c>
      <c r="C11" s="16">
        <f>C4</f>
        <v>321.6719783858186</v>
      </c>
      <c r="D11" s="17"/>
      <c r="E11" s="18"/>
      <c r="F11" s="19">
        <v>0.013</v>
      </c>
      <c r="G11" s="8">
        <f t="shared" si="0"/>
        <v>4.1817357190156415</v>
      </c>
      <c r="H11" s="17">
        <f t="shared" si="1"/>
        <v>0.013</v>
      </c>
      <c r="I11" s="92">
        <f t="shared" si="2"/>
        <v>4.1817357190156415</v>
      </c>
    </row>
    <row r="12" spans="2:9" ht="12.75">
      <c r="B12" s="113" t="s">
        <v>35</v>
      </c>
      <c r="C12" s="16">
        <f>C4</f>
        <v>321.6719783858186</v>
      </c>
      <c r="D12" s="17"/>
      <c r="E12" s="18"/>
      <c r="F12" s="19">
        <v>0.054</v>
      </c>
      <c r="G12" s="8">
        <f t="shared" si="0"/>
        <v>17.370286832834203</v>
      </c>
      <c r="H12" s="17">
        <f t="shared" si="1"/>
        <v>0.054</v>
      </c>
      <c r="I12" s="92">
        <f t="shared" si="2"/>
        <v>17.370286832834203</v>
      </c>
    </row>
    <row r="13" spans="2:9" ht="12.75">
      <c r="B13" s="113" t="s">
        <v>36</v>
      </c>
      <c r="C13" s="16">
        <f>IF(C4&gt;G3,G3,C4)</f>
        <v>321.6719783858186</v>
      </c>
      <c r="D13" s="17"/>
      <c r="E13" s="18"/>
      <c r="F13" s="21">
        <v>0.001</v>
      </c>
      <c r="G13" s="8">
        <f>C13*F13</f>
        <v>0.3216719783858186</v>
      </c>
      <c r="H13" s="17">
        <f t="shared" si="1"/>
        <v>0.001</v>
      </c>
      <c r="I13" s="92">
        <f t="shared" si="2"/>
        <v>0.3216719783858186</v>
      </c>
    </row>
    <row r="14" spans="2:9" ht="12.75">
      <c r="B14" s="117" t="s">
        <v>65</v>
      </c>
      <c r="C14" s="16">
        <f>IF(C3&gt;19,C4,0)</f>
        <v>0</v>
      </c>
      <c r="D14" s="17"/>
      <c r="E14" s="18"/>
      <c r="F14" s="22">
        <v>0.004</v>
      </c>
      <c r="G14" s="8">
        <f t="shared" si="0"/>
        <v>0</v>
      </c>
      <c r="H14" s="17">
        <f t="shared" si="1"/>
        <v>0.004</v>
      </c>
      <c r="I14" s="92">
        <f t="shared" si="2"/>
        <v>0</v>
      </c>
    </row>
    <row r="15" spans="2:9" ht="12.75">
      <c r="B15" s="113" t="s">
        <v>37</v>
      </c>
      <c r="C15" s="16">
        <f>C4</f>
        <v>321.6719783858186</v>
      </c>
      <c r="D15" s="17"/>
      <c r="E15" s="18">
        <f>C15*D15</f>
        <v>0</v>
      </c>
      <c r="F15" s="19">
        <v>0.003</v>
      </c>
      <c r="G15" s="8">
        <f t="shared" si="0"/>
        <v>0.9650159351574558</v>
      </c>
      <c r="H15" s="17">
        <f t="shared" si="1"/>
        <v>0.003</v>
      </c>
      <c r="I15" s="92">
        <f t="shared" si="2"/>
        <v>0.9650159351574558</v>
      </c>
    </row>
    <row r="16" spans="2:9" ht="12.75">
      <c r="B16" s="113" t="s">
        <v>38</v>
      </c>
      <c r="C16" s="125">
        <f>IF(C4&lt;4*G3,(C4+G42)*0.9825,C4)</f>
        <v>322.72386183873914</v>
      </c>
      <c r="D16" s="17">
        <v>0.051</v>
      </c>
      <c r="E16" s="18">
        <f>C16*D16</f>
        <v>16.458916953775695</v>
      </c>
      <c r="F16" s="19"/>
      <c r="G16" s="8"/>
      <c r="H16" s="17">
        <v>0.051</v>
      </c>
      <c r="I16" s="92">
        <f t="shared" si="2"/>
        <v>16.458916953775695</v>
      </c>
    </row>
    <row r="17" spans="2:9" ht="12.75">
      <c r="B17" s="113" t="s">
        <v>39</v>
      </c>
      <c r="C17" s="125">
        <f>IF(C4&lt;G3*4,(C4+G42)*0.9825,C4)</f>
        <v>322.72386183873914</v>
      </c>
      <c r="D17" s="17">
        <v>0.029</v>
      </c>
      <c r="E17" s="18">
        <f>C17*D17</f>
        <v>9.358991993323436</v>
      </c>
      <c r="F17" s="19"/>
      <c r="G17" s="8"/>
      <c r="H17" s="17">
        <v>0.029</v>
      </c>
      <c r="I17" s="92">
        <f t="shared" si="2"/>
        <v>9.358991993323436</v>
      </c>
    </row>
    <row r="18" spans="2:9" ht="12.75">
      <c r="B18" s="115"/>
      <c r="C18" s="16"/>
      <c r="D18" s="17"/>
      <c r="E18" s="18"/>
      <c r="F18" s="19"/>
      <c r="G18" s="8"/>
      <c r="H18" s="17"/>
      <c r="I18" s="92"/>
    </row>
    <row r="19" spans="2:9" ht="12.75">
      <c r="B19" s="116" t="s">
        <v>40</v>
      </c>
      <c r="C19" s="24"/>
      <c r="D19" s="25"/>
      <c r="E19" s="26">
        <f>SUM(E8:E17)</f>
        <v>49.94330732603553</v>
      </c>
      <c r="F19" s="27"/>
      <c r="G19" s="27">
        <f>SUM(G8:G17)</f>
        <v>95.85824955897395</v>
      </c>
      <c r="H19" s="28"/>
      <c r="I19" s="93">
        <f>SUM(I8:I17)</f>
        <v>145.8015568850095</v>
      </c>
    </row>
    <row r="20" spans="2:9" ht="12.75">
      <c r="B20" s="115"/>
      <c r="C20" s="16"/>
      <c r="D20" s="17"/>
      <c r="E20" s="18"/>
      <c r="F20" s="19"/>
      <c r="G20" s="8"/>
      <c r="H20" s="17"/>
      <c r="I20" s="92"/>
    </row>
    <row r="21" spans="1:9" ht="12.75">
      <c r="A21" s="1" t="s">
        <v>70</v>
      </c>
      <c r="B21" s="113" t="s">
        <v>66</v>
      </c>
      <c r="C21" s="128">
        <f>IF(C4&lt;G3,0,IF(C4&lt;(G3*4),C4,(G3*4)))</f>
        <v>0</v>
      </c>
      <c r="D21" s="29">
        <v>0.024</v>
      </c>
      <c r="E21" s="18">
        <f>C21*D21</f>
        <v>0</v>
      </c>
      <c r="F21" s="22">
        <v>0.04</v>
      </c>
      <c r="G21" s="8">
        <f t="shared" si="0"/>
        <v>0</v>
      </c>
      <c r="H21" s="17">
        <f>D21+F21</f>
        <v>0.064</v>
      </c>
      <c r="I21" s="92">
        <f t="shared" si="2"/>
        <v>0</v>
      </c>
    </row>
    <row r="22" spans="1:9" ht="12.75">
      <c r="A22" s="1" t="s">
        <v>70</v>
      </c>
      <c r="B22" s="113" t="s">
        <v>41</v>
      </c>
      <c r="C22" s="128">
        <f>IF(C4&lt;G3,0,IF(C4&lt;(G3*4),C4,(G3*4)))</f>
        <v>0</v>
      </c>
      <c r="D22" s="17"/>
      <c r="E22" s="18"/>
      <c r="F22" s="22">
        <v>0.003</v>
      </c>
      <c r="G22" s="8">
        <f t="shared" si="0"/>
        <v>0</v>
      </c>
      <c r="H22" s="17">
        <f aca="true" t="shared" si="3" ref="H22:H47">D22+F22</f>
        <v>0.003</v>
      </c>
      <c r="I22" s="92">
        <f t="shared" si="2"/>
        <v>0</v>
      </c>
    </row>
    <row r="23" spans="2:9" ht="12.75">
      <c r="B23" s="115"/>
      <c r="C23" s="16"/>
      <c r="D23" s="17"/>
      <c r="E23" s="18"/>
      <c r="F23" s="19"/>
      <c r="G23" s="8"/>
      <c r="H23" s="17"/>
      <c r="I23" s="92"/>
    </row>
    <row r="24" spans="2:9" ht="12.75">
      <c r="B24" s="116" t="s">
        <v>12</v>
      </c>
      <c r="C24" s="24"/>
      <c r="D24" s="25"/>
      <c r="E24" s="26">
        <f>SUM(E21:E22)</f>
        <v>0</v>
      </c>
      <c r="F24" s="27"/>
      <c r="G24" s="27">
        <f>SUM(G21:G22)</f>
        <v>0</v>
      </c>
      <c r="H24" s="28"/>
      <c r="I24" s="93">
        <f>SUM(I21:I22)</f>
        <v>0</v>
      </c>
    </row>
    <row r="25" spans="2:9" ht="12.75">
      <c r="B25" s="115"/>
      <c r="C25" s="16"/>
      <c r="D25" s="17"/>
      <c r="E25" s="18"/>
      <c r="F25" s="19"/>
      <c r="G25" s="8"/>
      <c r="H25" s="17"/>
      <c r="I25" s="92"/>
    </row>
    <row r="26" spans="2:9" ht="12.75">
      <c r="B26" s="113" t="s">
        <v>42</v>
      </c>
      <c r="C26" s="16">
        <f>IF(C4&gt;G3,G3,C4)</f>
        <v>321.6719783858186</v>
      </c>
      <c r="D26" s="20">
        <v>0.008</v>
      </c>
      <c r="E26" s="18">
        <f>C26*D26</f>
        <v>2.573375827086549</v>
      </c>
      <c r="F26" s="30">
        <v>0.012</v>
      </c>
      <c r="G26" s="8">
        <f t="shared" si="0"/>
        <v>3.860063740629823</v>
      </c>
      <c r="H26" s="17">
        <f t="shared" si="3"/>
        <v>0.02</v>
      </c>
      <c r="I26" s="92">
        <f t="shared" si="2"/>
        <v>6.433439567716372</v>
      </c>
    </row>
    <row r="27" spans="2:9" ht="12.75">
      <c r="B27" s="113" t="s">
        <v>43</v>
      </c>
      <c r="C27" s="121">
        <f>IF(C4&gt;G3,G3,C4)</f>
        <v>321.6719783858186</v>
      </c>
      <c r="D27" s="20">
        <v>0.03</v>
      </c>
      <c r="E27" s="18">
        <f>C27*D27</f>
        <v>9.650159351574557</v>
      </c>
      <c r="F27" s="30">
        <v>0.045</v>
      </c>
      <c r="G27" s="8">
        <f t="shared" si="0"/>
        <v>14.475239027361836</v>
      </c>
      <c r="H27" s="17">
        <f t="shared" si="3"/>
        <v>0.075</v>
      </c>
      <c r="I27" s="92">
        <f t="shared" si="2"/>
        <v>24.125398378936392</v>
      </c>
    </row>
    <row r="28" spans="2:9" ht="12.75">
      <c r="B28" s="3"/>
      <c r="C28" s="16"/>
      <c r="D28" s="17"/>
      <c r="E28" s="18"/>
      <c r="F28" s="19"/>
      <c r="G28" s="8"/>
      <c r="H28" s="17"/>
      <c r="I28" s="92"/>
    </row>
    <row r="29" spans="2:9" ht="12.75">
      <c r="B29" s="23" t="s">
        <v>44</v>
      </c>
      <c r="C29" s="24"/>
      <c r="D29" s="25"/>
      <c r="E29" s="26">
        <f>SUM(E26:E27)</f>
        <v>12.223535178661106</v>
      </c>
      <c r="F29" s="27"/>
      <c r="G29" s="27">
        <f>SUM(G26:G27)</f>
        <v>18.33530276799166</v>
      </c>
      <c r="H29" s="28"/>
      <c r="I29" s="93">
        <f>SUM(I26:I27)</f>
        <v>30.558837946652766</v>
      </c>
    </row>
    <row r="30" spans="2:9" ht="12.75">
      <c r="B30" s="3"/>
      <c r="C30" s="16"/>
      <c r="D30" s="17"/>
      <c r="E30" s="18"/>
      <c r="F30" s="19"/>
      <c r="G30" s="8"/>
      <c r="H30" s="17"/>
      <c r="I30" s="92"/>
    </row>
    <row r="31" spans="2:9" ht="12.75">
      <c r="B31" s="113" t="s">
        <v>45</v>
      </c>
      <c r="C31" s="128">
        <f>IF(C4&lt;G3,0,IF(AND(C4&gt;G3,C2="OUI"),IF(C4&lt;G3*4,C4-G3,G3*4),IF(C4&lt;G3*3,C4-G3,G3*3)))</f>
        <v>0</v>
      </c>
      <c r="D31" s="17">
        <v>0.009</v>
      </c>
      <c r="E31" s="18">
        <f aca="true" t="shared" si="4" ref="E31:E36">C31*D31</f>
        <v>0</v>
      </c>
      <c r="F31" s="19">
        <v>0.013</v>
      </c>
      <c r="G31" s="8">
        <f t="shared" si="0"/>
        <v>0</v>
      </c>
      <c r="H31" s="17">
        <f t="shared" si="3"/>
        <v>0.022</v>
      </c>
      <c r="I31" s="92">
        <f t="shared" si="2"/>
        <v>0</v>
      </c>
    </row>
    <row r="32" spans="2:9" ht="12.75">
      <c r="B32" s="113" t="str">
        <f>IF(C2="OUI","Retraite Complémentaire TB","Retraite TB Non cadre")</f>
        <v>Retraite Complémentaire TB</v>
      </c>
      <c r="C32" s="128">
        <f>IF(C4&lt;G3,0,IF(AND(C4&gt;G3,C2="OUI"),IF(C4&lt;G3*4,C4-G3,G3*4),IF(C4&lt;G3*3,C4-G3,G3*3)))</f>
        <v>0</v>
      </c>
      <c r="D32" s="17">
        <v>0.08</v>
      </c>
      <c r="E32" s="18">
        <f t="shared" si="4"/>
        <v>0</v>
      </c>
      <c r="F32" s="22">
        <f>IF(C2="OUI",0.126,0.12)</f>
        <v>0.126</v>
      </c>
      <c r="G32" s="8">
        <f t="shared" si="0"/>
        <v>0</v>
      </c>
      <c r="H32" s="17">
        <f t="shared" si="3"/>
        <v>0.20600000000000002</v>
      </c>
      <c r="I32" s="92">
        <f t="shared" si="2"/>
        <v>0</v>
      </c>
    </row>
    <row r="33" spans="2:9" ht="12.75">
      <c r="B33" s="113" t="s">
        <v>27</v>
      </c>
      <c r="C33" s="102">
        <f>IF(AND(C2="OUI",C4&lt;G2),G1,0)</f>
        <v>3347.22</v>
      </c>
      <c r="D33" s="17">
        <v>0.077</v>
      </c>
      <c r="E33" s="18">
        <f t="shared" si="4"/>
        <v>257.73593999999997</v>
      </c>
      <c r="F33" s="19">
        <v>0.126</v>
      </c>
      <c r="G33" s="8">
        <f t="shared" si="0"/>
        <v>421.74971999999997</v>
      </c>
      <c r="H33" s="17">
        <f t="shared" si="3"/>
        <v>0.203</v>
      </c>
      <c r="I33" s="92">
        <f t="shared" si="2"/>
        <v>679.48566</v>
      </c>
    </row>
    <row r="34" spans="2:9" ht="12.75">
      <c r="B34" s="113" t="s">
        <v>46</v>
      </c>
      <c r="C34" s="128">
        <f>IF(C2="OUI",IF(C4&lt;24248,C4,24248),0)</f>
        <v>321.6719783858186</v>
      </c>
      <c r="D34" s="17">
        <v>0.0013</v>
      </c>
      <c r="E34" s="18">
        <f t="shared" si="4"/>
        <v>0.4181735719015641</v>
      </c>
      <c r="F34" s="19">
        <v>0.0022</v>
      </c>
      <c r="G34" s="8">
        <f t="shared" si="0"/>
        <v>0.707678352448801</v>
      </c>
      <c r="H34" s="17">
        <f t="shared" si="3"/>
        <v>0.0035</v>
      </c>
      <c r="I34" s="92">
        <f t="shared" si="2"/>
        <v>1.125851924350365</v>
      </c>
    </row>
    <row r="35" spans="2:9" ht="12.75">
      <c r="B35" s="113" t="s">
        <v>47</v>
      </c>
      <c r="C35" s="128">
        <f>IF(C4&lt;G3,0,IF(AND(C4&gt;G3,C2="OUI"),IF(C4&lt;G3*4,C4-G3,G3*4),0))</f>
        <v>0</v>
      </c>
      <c r="D35" s="17">
        <v>0.00024</v>
      </c>
      <c r="E35" s="18">
        <f t="shared" si="4"/>
        <v>0</v>
      </c>
      <c r="F35" s="19">
        <v>0.00036</v>
      </c>
      <c r="G35" s="8">
        <f t="shared" si="0"/>
        <v>0</v>
      </c>
      <c r="H35" s="17">
        <f t="shared" si="3"/>
        <v>0.0006000000000000001</v>
      </c>
      <c r="I35" s="92">
        <f>C35*H35</f>
        <v>0</v>
      </c>
    </row>
    <row r="36" spans="2:9" ht="12.75">
      <c r="B36" s="120" t="s">
        <v>97</v>
      </c>
      <c r="C36" s="124">
        <f>IF(C2="OUI",IF(C4&lt;G3,C4,G3),0)</f>
        <v>321.6719783858186</v>
      </c>
      <c r="D36" s="17">
        <v>0.00024</v>
      </c>
      <c r="E36" s="18">
        <f t="shared" si="4"/>
        <v>0.07720127481259646</v>
      </c>
      <c r="F36" s="19">
        <v>0.00036</v>
      </c>
      <c r="G36" s="8">
        <f t="shared" si="0"/>
        <v>0.1158019122188947</v>
      </c>
      <c r="H36" s="17">
        <f t="shared" si="3"/>
        <v>0.0006000000000000001</v>
      </c>
      <c r="I36" s="92">
        <f t="shared" si="2"/>
        <v>0.19300318703149116</v>
      </c>
    </row>
    <row r="37" spans="2:9" ht="12.75">
      <c r="B37" s="3"/>
      <c r="C37" s="16"/>
      <c r="D37" s="17"/>
      <c r="E37" s="18"/>
      <c r="F37" s="19"/>
      <c r="G37" s="8"/>
      <c r="H37" s="17"/>
      <c r="I37" s="92"/>
    </row>
    <row r="38" spans="2:9" ht="12.75">
      <c r="B38" s="23" t="s">
        <v>48</v>
      </c>
      <c r="C38" s="24"/>
      <c r="D38" s="25"/>
      <c r="E38" s="26">
        <f>SUM(E31:E36)</f>
        <v>258.2313148467141</v>
      </c>
      <c r="F38" s="27"/>
      <c r="G38" s="26">
        <f>SUM(G31:G36)</f>
        <v>422.57320026466766</v>
      </c>
      <c r="H38" s="28"/>
      <c r="I38" s="26">
        <f>SUM(I31:I36)</f>
        <v>680.804515111382</v>
      </c>
    </row>
    <row r="39" spans="2:9" ht="12.75">
      <c r="B39" s="3"/>
      <c r="C39" s="16"/>
      <c r="D39" s="17"/>
      <c r="E39" s="18"/>
      <c r="F39" s="19"/>
      <c r="G39" s="8"/>
      <c r="H39" s="17"/>
      <c r="I39" s="18"/>
    </row>
    <row r="40" spans="2:9" ht="12.75">
      <c r="B40" s="3" t="s">
        <v>49</v>
      </c>
      <c r="C40" s="16">
        <f>IF(C2="OUI",IF(C4&gt;G3,G3,C4),0)</f>
        <v>321.6719783858186</v>
      </c>
      <c r="D40" s="30">
        <f>IF(C2="OUI",0.00396,0.00628)</f>
        <v>0.00396</v>
      </c>
      <c r="E40" s="18">
        <f>C40*D40</f>
        <v>1.2738210344078416</v>
      </c>
      <c r="F40" s="30">
        <f>IF(C2="OUI",0.02114,0.00942)</f>
        <v>0.02114</v>
      </c>
      <c r="G40" s="8">
        <f t="shared" si="0"/>
        <v>6.8001456230762045</v>
      </c>
      <c r="H40" s="17">
        <f t="shared" si="3"/>
        <v>0.025099999999999997</v>
      </c>
      <c r="I40" s="18">
        <f>C40*H40</f>
        <v>8.073966657484046</v>
      </c>
    </row>
    <row r="41" spans="2:9" ht="12.75">
      <c r="B41" s="119" t="s">
        <v>96</v>
      </c>
      <c r="C41" s="16"/>
      <c r="D41" s="17"/>
      <c r="E41" s="18"/>
      <c r="F41" s="19"/>
      <c r="G41" s="8"/>
      <c r="H41" s="17"/>
      <c r="I41" s="18"/>
    </row>
    <row r="42" spans="2:9" ht="12.75">
      <c r="B42" s="23" t="s">
        <v>50</v>
      </c>
      <c r="C42" s="24"/>
      <c r="D42" s="25"/>
      <c r="E42" s="26">
        <f>SUM(E40)</f>
        <v>1.2738210344078416</v>
      </c>
      <c r="F42" s="27"/>
      <c r="G42" s="27">
        <f>SUM(G40)</f>
        <v>6.8001456230762045</v>
      </c>
      <c r="H42" s="28"/>
      <c r="I42" s="26">
        <f>SUM(I40)</f>
        <v>8.073966657484046</v>
      </c>
    </row>
    <row r="43" spans="2:9" ht="12.75">
      <c r="B43" s="3"/>
      <c r="C43" s="16"/>
      <c r="D43" s="17"/>
      <c r="E43" s="18"/>
      <c r="F43" s="19"/>
      <c r="G43" s="8"/>
      <c r="H43" s="17"/>
      <c r="I43" s="18"/>
    </row>
    <row r="44" spans="2:9" ht="12.75">
      <c r="B44" s="3" t="s">
        <v>69</v>
      </c>
      <c r="C44" s="16">
        <f>IF(C3&gt;19,C4,0)</f>
        <v>0</v>
      </c>
      <c r="D44" s="17"/>
      <c r="E44" s="18"/>
      <c r="F44" s="19">
        <v>0.0045</v>
      </c>
      <c r="G44" s="8">
        <f t="shared" si="0"/>
        <v>0</v>
      </c>
      <c r="H44" s="17">
        <f t="shared" si="3"/>
        <v>0.0045</v>
      </c>
      <c r="I44" s="18">
        <f t="shared" si="2"/>
        <v>0</v>
      </c>
    </row>
    <row r="45" spans="2:9" ht="12.75">
      <c r="B45" s="113" t="s">
        <v>51</v>
      </c>
      <c r="C45" s="16">
        <f>C4</f>
        <v>321.6719783858186</v>
      </c>
      <c r="D45" s="17"/>
      <c r="E45" s="18">
        <f>C45*D45</f>
        <v>0</v>
      </c>
      <c r="F45" s="19">
        <v>0.0068</v>
      </c>
      <c r="G45" s="8">
        <f t="shared" si="0"/>
        <v>2.187369453023566</v>
      </c>
      <c r="H45" s="17">
        <f t="shared" si="3"/>
        <v>0.0068</v>
      </c>
      <c r="I45" s="91">
        <f t="shared" si="2"/>
        <v>2.187369453023566</v>
      </c>
    </row>
    <row r="46" spans="2:9" ht="12.75">
      <c r="B46" s="113" t="s">
        <v>52</v>
      </c>
      <c r="C46" s="16">
        <f>C4</f>
        <v>321.6719783858186</v>
      </c>
      <c r="D46" s="17"/>
      <c r="E46" s="18">
        <f>C46*D46</f>
        <v>0</v>
      </c>
      <c r="F46" s="22">
        <f>IF(C3&gt;19,0.016,IF(C3&gt;9,0.0105,0.0055))</f>
        <v>0.0055</v>
      </c>
      <c r="G46" s="8">
        <f t="shared" si="0"/>
        <v>1.769195881122002</v>
      </c>
      <c r="H46" s="17">
        <f t="shared" si="3"/>
        <v>0.0055</v>
      </c>
      <c r="I46" s="91">
        <f t="shared" si="2"/>
        <v>1.769195881122002</v>
      </c>
    </row>
    <row r="47" spans="2:9" ht="12.75">
      <c r="B47" s="3" t="s">
        <v>71</v>
      </c>
      <c r="C47" s="4">
        <f>IF(C3&gt;19,C4,0)</f>
        <v>0</v>
      </c>
      <c r="D47" s="31"/>
      <c r="E47" s="18"/>
      <c r="F47" s="19">
        <v>0.002</v>
      </c>
      <c r="G47" s="8">
        <f t="shared" si="0"/>
        <v>0</v>
      </c>
      <c r="H47" s="17">
        <f t="shared" si="3"/>
        <v>0.002</v>
      </c>
      <c r="I47" s="18">
        <f t="shared" si="2"/>
        <v>0</v>
      </c>
    </row>
    <row r="48" spans="2:9" ht="12.75">
      <c r="B48" s="3"/>
      <c r="C48" s="4"/>
      <c r="D48" s="3"/>
      <c r="E48" s="32"/>
      <c r="F48" s="33"/>
      <c r="G48" s="7"/>
      <c r="H48" s="3"/>
      <c r="I48" s="32"/>
    </row>
    <row r="49" spans="2:9" ht="12.75">
      <c r="B49" s="23" t="s">
        <v>53</v>
      </c>
      <c r="C49" s="34"/>
      <c r="D49" s="23"/>
      <c r="E49" s="26">
        <f>SUM(E44:E47)</f>
        <v>0</v>
      </c>
      <c r="F49" s="27"/>
      <c r="G49" s="27">
        <f>SUM(G44:G47)</f>
        <v>3.9565653341455684</v>
      </c>
      <c r="H49" s="28"/>
      <c r="I49" s="26">
        <f>SUM(I44:I47)</f>
        <v>3.9565653341455684</v>
      </c>
    </row>
    <row r="50" spans="2:9" ht="12.75">
      <c r="B50" s="3"/>
      <c r="C50" s="4"/>
      <c r="D50" s="3"/>
      <c r="E50" s="32"/>
      <c r="F50" s="7"/>
      <c r="G50" s="7"/>
      <c r="H50" s="3"/>
      <c r="I50" s="32"/>
    </row>
    <row r="51" spans="2:9" ht="13.5" thickBot="1">
      <c r="B51" s="35" t="s">
        <v>72</v>
      </c>
      <c r="C51" s="36"/>
      <c r="D51" s="35"/>
      <c r="E51" s="37">
        <f>E19+E24+E29+E38+E42+E49</f>
        <v>321.6719783858186</v>
      </c>
      <c r="F51" s="38"/>
      <c r="G51" s="38">
        <f>G19+G24+G29+G38+G42+G49</f>
        <v>547.523463548855</v>
      </c>
      <c r="H51" s="39"/>
      <c r="I51" s="37">
        <f>I19+I24+I29+I38+I42+I49</f>
        <v>869.1954419346738</v>
      </c>
    </row>
    <row r="52" ht="13.5" thickBot="1"/>
    <row r="53" spans="2:3" ht="12.75">
      <c r="B53" s="40" t="s">
        <v>54</v>
      </c>
      <c r="C53" s="41">
        <f>C55+C54</f>
        <v>9.358991993323436</v>
      </c>
    </row>
    <row r="54" spans="2:3" ht="12.75">
      <c r="B54" s="42" t="s">
        <v>39</v>
      </c>
      <c r="C54" s="43">
        <f>I17</f>
        <v>9.358991993323436</v>
      </c>
    </row>
    <row r="55" spans="2:3" ht="13.5" thickBot="1">
      <c r="B55" s="44" t="s">
        <v>55</v>
      </c>
      <c r="C55" s="45">
        <f>C4-E51</f>
        <v>0</v>
      </c>
    </row>
    <row r="60" ht="12.75">
      <c r="B60" s="126" t="s">
        <v>102</v>
      </c>
    </row>
  </sheetData>
  <sheetProtection formatCells="0" formatColumns="0" formatRows="0"/>
  <mergeCells count="3">
    <mergeCell ref="D6:E6"/>
    <mergeCell ref="F6:G6"/>
    <mergeCell ref="H6:I6"/>
  </mergeCells>
  <hyperlinks>
    <hyperlink ref="B60" r:id="rId1" display="http://revuefiduciaire.grouperf.com/article/3427/hb/rfiduchb3427_3438773.html"/>
  </hyperlinks>
  <printOptions/>
  <pageMargins left="0.787401575" right="0.787401575" top="0.984251969" bottom="0.984251969" header="0.4921259845" footer="0.492125984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Feuil4"/>
  <dimension ref="A2:J40"/>
  <sheetViews>
    <sheetView zoomScale="85" zoomScaleNormal="85" zoomScalePageLayoutView="0" workbookViewId="0" topLeftCell="A1">
      <selection activeCell="E46" sqref="E46"/>
    </sheetView>
  </sheetViews>
  <sheetFormatPr defaultColWidth="11.421875" defaultRowHeight="12.75"/>
  <cols>
    <col min="1" max="1" width="11.421875" style="1" customWidth="1"/>
    <col min="2" max="2" width="29.7109375" style="1" customWidth="1"/>
    <col min="3" max="3" width="16.421875" style="1" bestFit="1" customWidth="1"/>
    <col min="4" max="4" width="10.140625" style="1" customWidth="1"/>
    <col min="5" max="5" width="32.57421875" style="1" customWidth="1"/>
    <col min="6" max="6" width="20.421875" style="1" customWidth="1"/>
    <col min="7" max="16384" width="11.421875" style="1" customWidth="1"/>
  </cols>
  <sheetData>
    <row r="2" spans="4:5" ht="12.75">
      <c r="D2" s="101" t="s">
        <v>106</v>
      </c>
      <c r="E2" s="101" t="s">
        <v>107</v>
      </c>
    </row>
    <row r="3" spans="4:7" ht="13.5" thickBot="1">
      <c r="D3" s="101"/>
      <c r="E3" s="101" t="s">
        <v>105</v>
      </c>
      <c r="G3" s="49"/>
    </row>
    <row r="4" spans="1:3" ht="12.75">
      <c r="A4" s="2" t="s">
        <v>81</v>
      </c>
      <c r="B4" s="50"/>
      <c r="C4" s="48" t="str">
        <f>'Simulateur TS TNS'!D16</f>
        <v>NON</v>
      </c>
    </row>
    <row r="5" spans="1:3" ht="12.75">
      <c r="A5" s="3" t="s">
        <v>80</v>
      </c>
      <c r="B5" s="7"/>
      <c r="C5" s="90">
        <f>'Simulateur TS TNS'!D17</f>
        <v>9.22</v>
      </c>
    </row>
    <row r="6" spans="1:9" ht="15.75" thickBot="1">
      <c r="A6" s="51" t="s">
        <v>73</v>
      </c>
      <c r="B6" s="52"/>
      <c r="C6" s="53" t="b">
        <f>'Simulateur TS TNS'!D18</f>
        <v>0</v>
      </c>
      <c r="G6" s="54" t="s">
        <v>56</v>
      </c>
      <c r="H6" s="55" t="s">
        <v>62</v>
      </c>
      <c r="I6" s="56" t="s">
        <v>61</v>
      </c>
    </row>
    <row r="7" spans="1:9" ht="12.75">
      <c r="A7" s="57"/>
      <c r="B7" s="58"/>
      <c r="C7" s="59"/>
      <c r="E7" s="60" t="s">
        <v>74</v>
      </c>
      <c r="F7" s="61"/>
      <c r="G7" s="78">
        <f>IF(C6&lt;(TS!G3*0.4),TS!G3*0.4,IF(TNS!C6&lt;TS!G3,TNS!C6,TS!G3))</f>
        <v>36372</v>
      </c>
      <c r="H7" s="63">
        <v>0.065</v>
      </c>
      <c r="I7" s="64">
        <f>G7*H7</f>
        <v>2364.1800000000003</v>
      </c>
    </row>
    <row r="8" spans="1:9" ht="12.75">
      <c r="A8" s="57" t="s">
        <v>0</v>
      </c>
      <c r="B8" s="58"/>
      <c r="C8" s="65">
        <f>I9</f>
        <v>13093.92</v>
      </c>
      <c r="E8" s="127" t="s">
        <v>75</v>
      </c>
      <c r="F8" s="7"/>
      <c r="G8" s="81">
        <f>IF(C6&lt;TS!G3,0,IF(C6&gt;(TS!G3*5),TS!G3*5,C6-TS!G3))</f>
        <v>181860</v>
      </c>
      <c r="H8" s="19">
        <v>0.059</v>
      </c>
      <c r="I8" s="66">
        <f>G8*H8</f>
        <v>10729.74</v>
      </c>
    </row>
    <row r="9" spans="1:9" ht="12.75">
      <c r="A9" s="57" t="s">
        <v>1</v>
      </c>
      <c r="B9" s="58"/>
      <c r="C9" s="65">
        <f>I12</f>
        <v>0</v>
      </c>
      <c r="E9" s="67" t="s">
        <v>83</v>
      </c>
      <c r="F9" s="68"/>
      <c r="G9" s="69"/>
      <c r="H9" s="70"/>
      <c r="I9" s="71">
        <f>I7+I8</f>
        <v>13093.92</v>
      </c>
    </row>
    <row r="10" spans="1:9" ht="12.75">
      <c r="A10" s="57" t="s">
        <v>3</v>
      </c>
      <c r="B10" s="58"/>
      <c r="C10" s="65">
        <f>I16</f>
        <v>5568.5532</v>
      </c>
      <c r="G10" s="72"/>
      <c r="H10" s="73"/>
      <c r="I10" s="72"/>
    </row>
    <row r="11" spans="1:9" ht="12.75">
      <c r="A11" s="57"/>
      <c r="B11" s="58"/>
      <c r="C11" s="65"/>
      <c r="E11" s="7"/>
      <c r="F11" s="7"/>
      <c r="G11" s="8"/>
      <c r="H11" s="19"/>
      <c r="I11" s="8"/>
    </row>
    <row r="12" spans="1:9" ht="12.75">
      <c r="A12" s="57" t="s">
        <v>2</v>
      </c>
      <c r="B12" s="58"/>
      <c r="C12" s="65"/>
      <c r="E12" s="74" t="s">
        <v>1</v>
      </c>
      <c r="F12" s="55"/>
      <c r="G12" s="75" t="b">
        <f>C6</f>
        <v>0</v>
      </c>
      <c r="H12" s="76">
        <v>0.054</v>
      </c>
      <c r="I12" s="77">
        <f>G12*H12</f>
        <v>0</v>
      </c>
    </row>
    <row r="13" spans="1:9" ht="12.75">
      <c r="A13" s="57"/>
      <c r="B13" s="58" t="s">
        <v>4</v>
      </c>
      <c r="C13" s="65">
        <f>I18</f>
        <v>10920</v>
      </c>
      <c r="E13" s="7"/>
      <c r="F13" s="7"/>
      <c r="G13" s="7"/>
      <c r="H13" s="7"/>
      <c r="I13" s="7"/>
    </row>
    <row r="14" spans="1:9" ht="12.75">
      <c r="A14" s="57" t="s">
        <v>8</v>
      </c>
      <c r="B14" s="58"/>
      <c r="C14" s="65">
        <f>I19</f>
        <v>76</v>
      </c>
      <c r="E14" s="60" t="s">
        <v>103</v>
      </c>
      <c r="F14" s="61"/>
      <c r="G14" s="78">
        <f>IF(C6&lt;200*C5,200*C5,IF(C6&lt;TS!G3*0.85,C6,TS!G3*0.85))</f>
        <v>30916.2</v>
      </c>
      <c r="H14" s="79">
        <v>0.086</v>
      </c>
      <c r="I14" s="64">
        <f>G14*H14</f>
        <v>2658.7932</v>
      </c>
    </row>
    <row r="15" spans="1:9" ht="12.75">
      <c r="A15" s="57" t="s">
        <v>24</v>
      </c>
      <c r="B15" s="58"/>
      <c r="C15" s="80" t="s">
        <v>17</v>
      </c>
      <c r="E15" s="127" t="s">
        <v>3</v>
      </c>
      <c r="F15" s="7"/>
      <c r="G15" s="81">
        <f>IF(C6&lt;TS!G3*0.85,0,IF(C6&gt;TS!G3*5,TS!G3*5,C6-(TS!G3*0.85)))</f>
        <v>181860</v>
      </c>
      <c r="H15" s="19">
        <v>0.016</v>
      </c>
      <c r="I15" s="66">
        <f>G15*H15</f>
        <v>2909.76</v>
      </c>
    </row>
    <row r="16" spans="1:9" ht="12.75">
      <c r="A16" s="57" t="s">
        <v>9</v>
      </c>
      <c r="B16" s="58"/>
      <c r="C16" s="80" t="s">
        <v>18</v>
      </c>
      <c r="E16" s="82" t="s">
        <v>83</v>
      </c>
      <c r="F16" s="68"/>
      <c r="G16" s="68"/>
      <c r="H16" s="68"/>
      <c r="I16" s="71">
        <f>I14+I15</f>
        <v>5568.5532</v>
      </c>
    </row>
    <row r="17" spans="1:9" ht="12.75">
      <c r="A17" s="57" t="s">
        <v>25</v>
      </c>
      <c r="B17" s="58"/>
      <c r="C17" s="80" t="s">
        <v>18</v>
      </c>
      <c r="E17" s="7"/>
      <c r="F17" s="7"/>
      <c r="G17" s="7"/>
      <c r="H17" s="7"/>
      <c r="I17" s="7"/>
    </row>
    <row r="18" spans="1:10" ht="12.75">
      <c r="A18" s="57" t="s">
        <v>10</v>
      </c>
      <c r="B18" s="58"/>
      <c r="C18" s="65">
        <f>I23</f>
        <v>2224.38549</v>
      </c>
      <c r="E18" s="60" t="s">
        <v>76</v>
      </c>
      <c r="F18" s="61"/>
      <c r="G18" s="137" t="s">
        <v>108</v>
      </c>
      <c r="H18" s="79"/>
      <c r="I18" s="136">
        <f>IF(C6&lt;A34,C33,IF(C6&lt;A35,C35,IF(C6&lt;A36,C36,IF(C6&lt;A37,C37,IF(C6&lt;A38,C38,C39)))))</f>
        <v>10920</v>
      </c>
      <c r="J18" s="118" t="s">
        <v>109</v>
      </c>
    </row>
    <row r="19" spans="1:9" ht="12.75">
      <c r="A19" s="57" t="s">
        <v>11</v>
      </c>
      <c r="B19" s="58"/>
      <c r="C19" s="65">
        <f>I24</f>
        <v>148.29236600000002</v>
      </c>
      <c r="E19" s="82" t="s">
        <v>8</v>
      </c>
      <c r="F19" s="83" t="s">
        <v>77</v>
      </c>
      <c r="G19" s="69"/>
      <c r="H19" s="70"/>
      <c r="I19" s="71">
        <v>76</v>
      </c>
    </row>
    <row r="20" spans="1:3" ht="12.75">
      <c r="A20" s="57" t="s">
        <v>12</v>
      </c>
      <c r="B20" s="58"/>
      <c r="C20" s="80" t="s">
        <v>18</v>
      </c>
    </row>
    <row r="21" spans="1:9" ht="12.75">
      <c r="A21" s="57" t="s">
        <v>13</v>
      </c>
      <c r="B21" s="58"/>
      <c r="C21" s="80" t="s">
        <v>18</v>
      </c>
      <c r="E21" s="74" t="s">
        <v>82</v>
      </c>
      <c r="F21" s="55"/>
      <c r="G21" s="55"/>
      <c r="H21" s="55"/>
      <c r="I21" s="77">
        <f>I9+I12+I16+I18+I19</f>
        <v>29658.4732</v>
      </c>
    </row>
    <row r="22" spans="1:9" ht="12.75">
      <c r="A22" s="57" t="s">
        <v>14</v>
      </c>
      <c r="B22" s="58"/>
      <c r="C22" s="65">
        <f>I26</f>
        <v>54.558</v>
      </c>
      <c r="E22" s="7"/>
      <c r="F22" s="7"/>
      <c r="G22" s="7"/>
      <c r="H22" s="7"/>
      <c r="I22" s="8"/>
    </row>
    <row r="23" spans="1:9" ht="12.75">
      <c r="A23" s="57" t="s">
        <v>15</v>
      </c>
      <c r="B23" s="58"/>
      <c r="C23" s="80" t="s">
        <v>18</v>
      </c>
      <c r="E23" s="60" t="s">
        <v>10</v>
      </c>
      <c r="F23" s="61" t="s">
        <v>78</v>
      </c>
      <c r="G23" s="62">
        <f>C6+I21</f>
        <v>29658.4732</v>
      </c>
      <c r="H23" s="79">
        <v>0.075</v>
      </c>
      <c r="I23" s="64">
        <f>G23*H23</f>
        <v>2224.38549</v>
      </c>
    </row>
    <row r="24" spans="1:9" ht="12.75">
      <c r="A24" s="57" t="s">
        <v>16</v>
      </c>
      <c r="B24" s="58"/>
      <c r="C24" s="59"/>
      <c r="E24" s="82" t="s">
        <v>11</v>
      </c>
      <c r="F24" s="68"/>
      <c r="G24" s="69">
        <f>C6+I21</f>
        <v>29658.4732</v>
      </c>
      <c r="H24" s="70">
        <v>0.005</v>
      </c>
      <c r="I24" s="71">
        <f>G24*H24</f>
        <v>148.29236600000002</v>
      </c>
    </row>
    <row r="25" spans="1:3" ht="13.5" thickBot="1">
      <c r="A25" s="57"/>
      <c r="B25" s="58"/>
      <c r="C25" s="59"/>
    </row>
    <row r="26" spans="1:9" ht="15.75" thickBot="1">
      <c r="A26" s="84" t="s">
        <v>19</v>
      </c>
      <c r="B26" s="85"/>
      <c r="C26" s="86">
        <f>SUM(C8:C14)+C18+C19+C22</f>
        <v>32085.709056000003</v>
      </c>
      <c r="E26" s="74" t="s">
        <v>14</v>
      </c>
      <c r="F26" s="87" t="s">
        <v>79</v>
      </c>
      <c r="G26" s="75">
        <f>IF(C6&lt;TS!G3,C6,TS!G3)</f>
        <v>36372</v>
      </c>
      <c r="H26" s="135">
        <f>IF(C4="OUI",0.24%,0.15%)</f>
        <v>0.0015</v>
      </c>
      <c r="I26" s="77">
        <f>G26*H26</f>
        <v>54.558</v>
      </c>
    </row>
    <row r="27" ht="12.75">
      <c r="H27" s="73"/>
    </row>
    <row r="32" spans="1:4" ht="45.75">
      <c r="A32" s="88" t="s">
        <v>104</v>
      </c>
      <c r="B32" s="88" t="s">
        <v>85</v>
      </c>
      <c r="C32" s="88" t="s">
        <v>86</v>
      </c>
      <c r="D32" s="88" t="s">
        <v>87</v>
      </c>
    </row>
    <row r="33" spans="1:4" ht="22.5">
      <c r="A33" s="131" t="s">
        <v>88</v>
      </c>
      <c r="B33" s="196">
        <v>1</v>
      </c>
      <c r="C33" s="198">
        <v>1092</v>
      </c>
      <c r="D33" s="196">
        <v>4</v>
      </c>
    </row>
    <row r="34" spans="1:5" ht="18" customHeight="1">
      <c r="A34" s="132">
        <v>41051</v>
      </c>
      <c r="B34" s="197"/>
      <c r="C34" s="199"/>
      <c r="D34" s="197"/>
      <c r="E34" s="118" t="s">
        <v>115</v>
      </c>
    </row>
    <row r="35" spans="1:5" ht="18" customHeight="1">
      <c r="A35" s="129">
        <v>48990</v>
      </c>
      <c r="B35" s="89">
        <v>2</v>
      </c>
      <c r="C35" s="134">
        <v>2184</v>
      </c>
      <c r="D35" s="89">
        <v>8</v>
      </c>
      <c r="E35" s="118" t="s">
        <v>110</v>
      </c>
    </row>
    <row r="36" spans="1:5" ht="18" customHeight="1">
      <c r="A36" s="130">
        <v>57500</v>
      </c>
      <c r="B36" s="89">
        <v>3</v>
      </c>
      <c r="C36" s="134">
        <v>3276</v>
      </c>
      <c r="D36" s="89">
        <v>12</v>
      </c>
      <c r="E36" s="118" t="s">
        <v>111</v>
      </c>
    </row>
    <row r="37" spans="1:5" ht="18" customHeight="1">
      <c r="A37" s="133">
        <v>66000</v>
      </c>
      <c r="B37" s="89">
        <v>5</v>
      </c>
      <c r="C37" s="134">
        <v>5460</v>
      </c>
      <c r="D37" s="89">
        <v>20</v>
      </c>
      <c r="E37" s="118" t="s">
        <v>112</v>
      </c>
    </row>
    <row r="38" spans="1:5" ht="18" customHeight="1">
      <c r="A38" s="133">
        <v>82560</v>
      </c>
      <c r="B38" s="89">
        <v>7</v>
      </c>
      <c r="C38" s="134">
        <v>7644</v>
      </c>
      <c r="D38" s="89">
        <v>28</v>
      </c>
      <c r="E38" s="118" t="s">
        <v>113</v>
      </c>
    </row>
    <row r="39" spans="1:5" ht="18" customHeight="1">
      <c r="A39" s="133">
        <v>82560</v>
      </c>
      <c r="B39" s="89">
        <v>10</v>
      </c>
      <c r="C39" s="134">
        <v>10920</v>
      </c>
      <c r="D39" s="89">
        <v>40</v>
      </c>
      <c r="E39" s="118" t="s">
        <v>114</v>
      </c>
    </row>
    <row r="40" spans="1:4" ht="12.75">
      <c r="A40" s="200"/>
      <c r="B40" s="200"/>
      <c r="C40" s="200"/>
      <c r="D40" s="200"/>
    </row>
  </sheetData>
  <sheetProtection/>
  <mergeCells count="4">
    <mergeCell ref="B33:B34"/>
    <mergeCell ref="C33:C34"/>
    <mergeCell ref="D33:D34"/>
    <mergeCell ref="A40:D40"/>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emmanuel</dc:creator>
  <cp:keywords/>
  <dc:description/>
  <cp:lastModifiedBy>Stéphanie SFEIR</cp:lastModifiedBy>
  <cp:lastPrinted>2012-01-31T14:39:48Z</cp:lastPrinted>
  <dcterms:created xsi:type="dcterms:W3CDTF">2007-10-07T17:01:44Z</dcterms:created>
  <dcterms:modified xsi:type="dcterms:W3CDTF">2013-07-30T10:17:25Z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